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0" windowWidth="19440" windowHeight="11595" firstSheet="1" activeTab="5"/>
  </bookViews>
  <sheets>
    <sheet name="Berekening" sheetId="1" r:id="rId1"/>
    <sheet name="Cascade &amp; calamiteit" sheetId="3" r:id="rId2"/>
    <sheet name="Kosten" sheetId="4" r:id="rId3"/>
    <sheet name="Verschil Leveranciers" sheetId="5" r:id="rId4"/>
    <sheet name="Pompvarianten" sheetId="6" r:id="rId5"/>
    <sheet name="Zuurstof en temperatuur" sheetId="7" r:id="rId6"/>
  </sheets>
  <calcPr calcId="145621"/>
</workbook>
</file>

<file path=xl/calcChain.xml><?xml version="1.0" encoding="utf-8"?>
<calcChain xmlns="http://schemas.openxmlformats.org/spreadsheetml/2006/main">
  <c r="B33" i="4" l="1"/>
  <c r="N21" i="4"/>
  <c r="B25" i="4"/>
  <c r="N11" i="4"/>
  <c r="B31" i="4"/>
  <c r="B30" i="4"/>
  <c r="B27" i="4"/>
  <c r="B26" i="4"/>
  <c r="C25" i="4"/>
  <c r="S8" i="1"/>
  <c r="P31" i="7" l="1"/>
  <c r="P30" i="7"/>
  <c r="T19" i="3"/>
  <c r="P8" i="3"/>
  <c r="P6" i="3"/>
  <c r="T16" i="3"/>
  <c r="T17" i="3"/>
  <c r="T18" i="3"/>
  <c r="T20" i="3"/>
  <c r="T15" i="3"/>
  <c r="B26" i="1"/>
  <c r="F27" i="1"/>
  <c r="F24" i="1"/>
  <c r="F23" i="1"/>
  <c r="F25" i="1"/>
  <c r="F26" i="1"/>
  <c r="F28" i="1"/>
  <c r="F29" i="1"/>
  <c r="F30" i="1"/>
  <c r="F31" i="1"/>
  <c r="F32" i="1"/>
  <c r="F33" i="1"/>
  <c r="F22" i="1"/>
  <c r="B25" i="1"/>
  <c r="H22" i="1"/>
  <c r="H23" i="1"/>
  <c r="S20" i="3" l="1"/>
  <c r="S16" i="3"/>
  <c r="S17" i="3"/>
  <c r="S18" i="3"/>
  <c r="S19" i="3"/>
  <c r="S15" i="3"/>
  <c r="P7" i="3"/>
  <c r="AA30" i="6" l="1"/>
  <c r="Z30" i="6"/>
  <c r="Z22" i="6" l="1"/>
  <c r="X22" i="6"/>
  <c r="AE22" i="6" l="1"/>
  <c r="AD22" i="6"/>
  <c r="AC22" i="6"/>
  <c r="AB22" i="6"/>
  <c r="AA22" i="6"/>
  <c r="Y22" i="6"/>
  <c r="W22" i="6"/>
  <c r="V22" i="6"/>
  <c r="U22" i="6"/>
  <c r="T22" i="6"/>
  <c r="S22" i="6"/>
  <c r="R22" i="6"/>
  <c r="U14" i="6" l="1"/>
  <c r="W14" i="6" s="1"/>
  <c r="X14" i="6" s="1"/>
  <c r="U15" i="6"/>
  <c r="W15" i="6" s="1"/>
  <c r="X15" i="6" s="1"/>
  <c r="U16" i="6"/>
  <c r="W16" i="6" s="1"/>
  <c r="X16" i="6" s="1"/>
  <c r="U13" i="6"/>
  <c r="W13" i="6" s="1"/>
  <c r="X13" i="6" s="1"/>
  <c r="X21" i="6" l="1"/>
  <c r="X23" i="6" s="1"/>
  <c r="AB21" i="6"/>
  <c r="AB23" i="6" s="1"/>
  <c r="Z21" i="6"/>
  <c r="Z23" i="6" s="1"/>
  <c r="Z31" i="6" s="1"/>
  <c r="Y13" i="6"/>
  <c r="T21" i="6"/>
  <c r="T23" i="6" s="1"/>
  <c r="Y15" i="6"/>
  <c r="U21" i="6" s="1"/>
  <c r="U23" i="6" s="1"/>
  <c r="R21" i="6"/>
  <c r="R23" i="6" s="1"/>
  <c r="Y16" i="6"/>
  <c r="S21" i="6" s="1"/>
  <c r="S23" i="6" s="1"/>
  <c r="AD21" i="6"/>
  <c r="AD23" i="6" s="1"/>
  <c r="V21" i="6"/>
  <c r="V23" i="6" s="1"/>
  <c r="Y14" i="6"/>
  <c r="J13" i="5"/>
  <c r="B18" i="5"/>
  <c r="B13" i="5"/>
  <c r="F13" i="5"/>
  <c r="J15" i="5"/>
  <c r="J16" i="5"/>
  <c r="J14" i="5"/>
  <c r="F14" i="5"/>
  <c r="F16" i="5"/>
  <c r="B14" i="5"/>
  <c r="B14" i="4"/>
  <c r="B19" i="4"/>
  <c r="B16" i="5"/>
  <c r="B15" i="5"/>
  <c r="E19" i="4"/>
  <c r="F13" i="4"/>
  <c r="Y21" i="6" l="1"/>
  <c r="AC21" i="6"/>
  <c r="AC23" i="6" s="1"/>
  <c r="AE21" i="6"/>
  <c r="AE23" i="6" s="1"/>
  <c r="W21" i="6"/>
  <c r="W23" i="6" s="1"/>
  <c r="J18" i="5"/>
  <c r="F18" i="5"/>
  <c r="AA21" i="6" l="1"/>
  <c r="AA23" i="6" s="1"/>
  <c r="AA31" i="6" s="1"/>
  <c r="Y23" i="6"/>
  <c r="S5" i="1"/>
  <c r="S7" i="1" s="1"/>
  <c r="B10" i="3"/>
  <c r="B13" i="3" s="1"/>
  <c r="B14" i="3" s="1"/>
  <c r="H24" i="1" l="1"/>
  <c r="G41" i="4"/>
  <c r="H41" i="4" s="1"/>
  <c r="I41" i="4" s="1"/>
  <c r="G40" i="4"/>
  <c r="H40" i="4" s="1"/>
  <c r="I40" i="4" s="1"/>
  <c r="T6" i="4" l="1"/>
  <c r="T13" i="4"/>
  <c r="T5" i="4"/>
  <c r="D25" i="4" l="1"/>
  <c r="B13" i="4"/>
  <c r="S13" i="4" l="1"/>
  <c r="U13" i="4" s="1"/>
  <c r="S18" i="4"/>
  <c r="T18" i="4"/>
  <c r="U18" i="4"/>
  <c r="T19" i="4"/>
  <c r="T14" i="4"/>
  <c r="T8" i="4"/>
  <c r="T9" i="4" s="1"/>
  <c r="S8" i="4"/>
  <c r="T7" i="4"/>
  <c r="S6" i="4"/>
  <c r="S7" i="4"/>
  <c r="U7" i="4" s="1"/>
  <c r="S5" i="4"/>
  <c r="S9" i="4" l="1"/>
  <c r="U9" i="4"/>
  <c r="M19" i="4"/>
  <c r="M21" i="4" s="1"/>
  <c r="B35" i="4" s="1"/>
  <c r="O18" i="4"/>
  <c r="O19" i="4" s="1"/>
  <c r="O21" i="4" s="1"/>
  <c r="B34" i="4" s="1"/>
  <c r="N19" i="4"/>
  <c r="M18" i="4"/>
  <c r="B15" i="4"/>
  <c r="B14" i="1"/>
  <c r="C49" i="1" l="1"/>
  <c r="B49" i="1"/>
  <c r="A40" i="1"/>
  <c r="A41" i="1" s="1"/>
  <c r="H25" i="1" l="1"/>
  <c r="H26" i="1"/>
  <c r="H27" i="1"/>
  <c r="H28" i="1"/>
  <c r="H29" i="1"/>
  <c r="H30" i="1"/>
  <c r="H31" i="1"/>
  <c r="H32" i="1"/>
  <c r="H33" i="1"/>
  <c r="A19" i="4"/>
  <c r="B17" i="4"/>
  <c r="B16" i="4"/>
  <c r="B18" i="4" l="1"/>
  <c r="J14" i="1"/>
  <c r="J15" i="1" s="1"/>
  <c r="J17" i="1" s="1"/>
  <c r="B4" i="1"/>
  <c r="B7" i="1" l="1"/>
  <c r="B8" i="1" s="1"/>
  <c r="F2" i="1" s="1"/>
  <c r="J3" i="1"/>
  <c r="G22" i="1" l="1"/>
  <c r="E22" i="1" s="1"/>
  <c r="D22" i="1" s="1"/>
  <c r="J22" i="1" s="1"/>
  <c r="K22" i="1" s="1"/>
  <c r="G23" i="1"/>
  <c r="E23" i="1" s="1"/>
  <c r="D23" i="1" s="1"/>
  <c r="J23" i="1" s="1"/>
  <c r="G24" i="1"/>
  <c r="J5" i="1"/>
  <c r="B9" i="1"/>
  <c r="E24" i="1" l="1"/>
  <c r="D24" i="1" s="1"/>
  <c r="J24" i="1" s="1"/>
  <c r="J6" i="1"/>
  <c r="J7" i="1" s="1"/>
  <c r="G26" i="1"/>
  <c r="G30" i="1"/>
  <c r="G27" i="1"/>
  <c r="G28" i="1"/>
  <c r="G33" i="1"/>
  <c r="G25" i="1"/>
  <c r="G29" i="1"/>
  <c r="G31" i="1"/>
  <c r="G32" i="1"/>
  <c r="E13" i="1"/>
  <c r="E31" i="1" l="1"/>
  <c r="D31" i="1" s="1"/>
  <c r="J31" i="1" s="1"/>
  <c r="E28" i="1"/>
  <c r="D28" i="1" s="1"/>
  <c r="J28" i="1" s="1"/>
  <c r="E29" i="1"/>
  <c r="D29" i="1" s="1"/>
  <c r="J29" i="1" s="1"/>
  <c r="E27" i="1"/>
  <c r="D27" i="1" s="1"/>
  <c r="J27" i="1" s="1"/>
  <c r="E14" i="1"/>
  <c r="E15" i="1" s="1"/>
  <c r="E16" i="1" s="1"/>
  <c r="E17" i="1" s="1"/>
  <c r="E18" i="1" s="1"/>
  <c r="E25" i="1"/>
  <c r="D25" i="1" s="1"/>
  <c r="J25" i="1" s="1"/>
  <c r="E30" i="1"/>
  <c r="D30" i="1" s="1"/>
  <c r="J30" i="1" s="1"/>
  <c r="E32" i="1"/>
  <c r="D32" i="1" s="1"/>
  <c r="J32" i="1" s="1"/>
  <c r="E33" i="1"/>
  <c r="D33" i="1" s="1"/>
  <c r="J33" i="1" s="1"/>
  <c r="E26" i="1"/>
  <c r="D26" i="1" s="1"/>
  <c r="J26" i="1" s="1"/>
  <c r="J18" i="1"/>
  <c r="F4" i="1" l="1"/>
  <c r="F5" i="1" s="1"/>
  <c r="F7" i="1" s="1"/>
  <c r="B29" i="1" s="1"/>
  <c r="B28" i="1" s="1"/>
  <c r="S3" i="1" l="1"/>
  <c r="S10" i="1" l="1"/>
  <c r="S9" i="1"/>
  <c r="B30" i="1"/>
  <c r="B31" i="1" s="1"/>
  <c r="L22" i="1"/>
  <c r="K23" i="1"/>
  <c r="L23" i="1" s="1"/>
  <c r="F9" i="1"/>
  <c r="S11" i="1" l="1"/>
  <c r="S12" i="1" s="1"/>
  <c r="K31" i="1"/>
  <c r="L31" i="1" s="1"/>
  <c r="K28" i="1"/>
  <c r="L28" i="1" s="1"/>
  <c r="K24" i="1"/>
  <c r="L24" i="1" s="1"/>
  <c r="K32" i="1"/>
  <c r="L32" i="1" s="1"/>
  <c r="K26" i="1"/>
  <c r="L26" i="1" s="1"/>
  <c r="K27" i="1"/>
  <c r="L27" i="1" s="1"/>
  <c r="K29" i="1"/>
  <c r="L29" i="1" s="1"/>
  <c r="K30" i="1"/>
  <c r="L30" i="1" s="1"/>
  <c r="K33" i="1"/>
  <c r="L33" i="1" s="1"/>
  <c r="K25" i="1" l="1"/>
  <c r="L25" i="1" l="1"/>
</calcChain>
</file>

<file path=xl/sharedStrings.xml><?xml version="1.0" encoding="utf-8"?>
<sst xmlns="http://schemas.openxmlformats.org/spreadsheetml/2006/main" count="423" uniqueCount="202">
  <si>
    <t>"</t>
  </si>
  <si>
    <t>kg</t>
  </si>
  <si>
    <t>m3</t>
  </si>
  <si>
    <t>J/K</t>
  </si>
  <si>
    <t xml:space="preserve">J </t>
  </si>
  <si>
    <t>warmte cap. Water</t>
  </si>
  <si>
    <t xml:space="preserve">Vraag </t>
  </si>
  <si>
    <t>Delta T</t>
  </si>
  <si>
    <t>graden C</t>
  </si>
  <si>
    <t xml:space="preserve">Benodig water </t>
  </si>
  <si>
    <t>Debiet</t>
  </si>
  <si>
    <t>m3/h</t>
  </si>
  <si>
    <t>Leiding r</t>
  </si>
  <si>
    <t>Leiding d</t>
  </si>
  <si>
    <t>m2</t>
  </si>
  <si>
    <t>m</t>
  </si>
  <si>
    <t>Leiding opp. A</t>
  </si>
  <si>
    <t>Stroomsnel. V</t>
  </si>
  <si>
    <t>m/s</t>
  </si>
  <si>
    <t>Leiding dikte</t>
  </si>
  <si>
    <t>m3/s</t>
  </si>
  <si>
    <t>kg/s</t>
  </si>
  <si>
    <r>
      <t>x 10</t>
    </r>
    <r>
      <rPr>
        <sz val="11"/>
        <color theme="1"/>
        <rFont val="Calibri"/>
        <family val="2"/>
      </rPr>
      <t>⁶ m3</t>
    </r>
  </si>
  <si>
    <t>Warmtevracht</t>
  </si>
  <si>
    <t>Piekbelasting</t>
  </si>
  <si>
    <t>MW</t>
  </si>
  <si>
    <t>Uren per jaar</t>
  </si>
  <si>
    <t>-</t>
  </si>
  <si>
    <t>kj/s</t>
  </si>
  <si>
    <t>gr/s</t>
  </si>
  <si>
    <t>j/s</t>
  </si>
  <si>
    <t>TJ</t>
  </si>
  <si>
    <t>mwh</t>
  </si>
  <si>
    <t>Max capaciteit</t>
  </si>
  <si>
    <t>Energiecapaciteit</t>
  </si>
  <si>
    <t>Aanzuigleiding</t>
  </si>
  <si>
    <t>Diameter</t>
  </si>
  <si>
    <t>Stroomsnelheid</t>
  </si>
  <si>
    <t>Oppervlakte</t>
  </si>
  <si>
    <t>straal</t>
  </si>
  <si>
    <t>mm</t>
  </si>
  <si>
    <t>Getal van Reynolds</t>
  </si>
  <si>
    <t xml:space="preserve">Lengte </t>
  </si>
  <si>
    <t>ρ</t>
  </si>
  <si>
    <t>Colebrook-white</t>
  </si>
  <si>
    <t>k</t>
  </si>
  <si>
    <t>Darcy Weisbach</t>
  </si>
  <si>
    <t>g</t>
  </si>
  <si>
    <t>Viscositeit</t>
  </si>
  <si>
    <t>pa/s</t>
  </si>
  <si>
    <t>Relatieve wandruwheid</t>
  </si>
  <si>
    <t>Drukverlies</t>
  </si>
  <si>
    <t>Drukval</t>
  </si>
  <si>
    <t>Gestuurde boring</t>
  </si>
  <si>
    <t>€/m</t>
  </si>
  <si>
    <t>Gyroscoop</t>
  </si>
  <si>
    <t>Raket boring</t>
  </si>
  <si>
    <t>Lassen</t>
  </si>
  <si>
    <t>€/stuk</t>
  </si>
  <si>
    <t>Tek. Ber. Plannen</t>
  </si>
  <si>
    <t>€</t>
  </si>
  <si>
    <t>stuks</t>
  </si>
  <si>
    <t>Kosten</t>
  </si>
  <si>
    <t>Tekeningen</t>
  </si>
  <si>
    <t>Totaal</t>
  </si>
  <si>
    <t>kg/m3</t>
  </si>
  <si>
    <t>bar</t>
  </si>
  <si>
    <t>Diameter (m)</t>
  </si>
  <si>
    <t>KWh</t>
  </si>
  <si>
    <t>uur</t>
  </si>
  <si>
    <t>Euro</t>
  </si>
  <si>
    <t>Drukval (m)</t>
  </si>
  <si>
    <t>kosten</t>
  </si>
  <si>
    <t>Vraag MW</t>
  </si>
  <si>
    <t>uren</t>
  </si>
  <si>
    <t>Bar</t>
  </si>
  <si>
    <t>Afstand</t>
  </si>
  <si>
    <t>Tijdsduur</t>
  </si>
  <si>
    <t>minuten</t>
  </si>
  <si>
    <t>ΔT</t>
  </si>
  <si>
    <t>300 mm</t>
  </si>
  <si>
    <t>500 mm</t>
  </si>
  <si>
    <t>Variant 1</t>
  </si>
  <si>
    <t>Variant 3</t>
  </si>
  <si>
    <t>Variant 2</t>
  </si>
  <si>
    <t>hdpe</t>
  </si>
  <si>
    <r>
      <rPr>
        <sz val="11"/>
        <color theme="1"/>
        <rFont val="Calibri"/>
        <family val="2"/>
      </rPr>
      <t>€/</t>
    </r>
    <r>
      <rPr>
        <sz val="11"/>
        <color theme="1"/>
        <rFont val="Calibri"/>
        <family val="2"/>
        <scheme val="minor"/>
      </rPr>
      <t>meter</t>
    </r>
  </si>
  <si>
    <t>variant 1</t>
  </si>
  <si>
    <t>variant 2</t>
  </si>
  <si>
    <t>variant 3</t>
  </si>
  <si>
    <t>verschil</t>
  </si>
  <si>
    <t>1 en 2</t>
  </si>
  <si>
    <t>1 en 3</t>
  </si>
  <si>
    <t>totaal 1</t>
  </si>
  <si>
    <t>totaal 2</t>
  </si>
  <si>
    <t>totaal 3</t>
  </si>
  <si>
    <t>heen 500</t>
  </si>
  <si>
    <t>terug 300</t>
  </si>
  <si>
    <t>totaal</t>
  </si>
  <si>
    <t>300 x 2</t>
  </si>
  <si>
    <t>heen/terug 500</t>
  </si>
  <si>
    <t>6 x 300</t>
  </si>
  <si>
    <t>Boring</t>
  </si>
  <si>
    <t>boring</t>
  </si>
  <si>
    <t>leiding</t>
  </si>
  <si>
    <t>hoogte</t>
  </si>
  <si>
    <t>insteek</t>
  </si>
  <si>
    <t>bodembreedte</t>
  </si>
  <si>
    <t>oppervlak</t>
  </si>
  <si>
    <t>Lengte sloot</t>
  </si>
  <si>
    <t>KPa</t>
  </si>
  <si>
    <t>r</t>
  </si>
  <si>
    <t>Factor r</t>
  </si>
  <si>
    <r>
      <t xml:space="preserve">Weestand </t>
    </r>
    <r>
      <rPr>
        <sz val="11"/>
        <color theme="1"/>
        <rFont val="Calibri"/>
        <family val="2"/>
      </rPr>
      <t>§</t>
    </r>
  </si>
  <si>
    <t>ΔH</t>
  </si>
  <si>
    <t>Aantal bochten</t>
  </si>
  <si>
    <t>Bochtstraal</t>
  </si>
  <si>
    <t>graden</t>
  </si>
  <si>
    <t>Drukverlies bocht</t>
  </si>
  <si>
    <t>J</t>
  </si>
  <si>
    <t>optie 2</t>
  </si>
  <si>
    <t>optie 1</t>
  </si>
  <si>
    <t>optie 3</t>
  </si>
  <si>
    <t xml:space="preserve">1-2 </t>
  </si>
  <si>
    <t>2-3</t>
  </si>
  <si>
    <t>x2 m</t>
  </si>
  <si>
    <t>v</t>
  </si>
  <si>
    <t>Inhoud sloot</t>
  </si>
  <si>
    <t>De Lange</t>
  </si>
  <si>
    <t>VanVulpen</t>
  </si>
  <si>
    <t>Overige kosten</t>
  </si>
  <si>
    <t>Totaal*</t>
  </si>
  <si>
    <t>*Alleen gestuurde boring</t>
  </si>
  <si>
    <t>Gebr. Van Leeuwen</t>
  </si>
  <si>
    <t>Gestuurde boring**</t>
  </si>
  <si>
    <t>** Incl. gyroscoop</t>
  </si>
  <si>
    <t>kw</t>
  </si>
  <si>
    <t>5 jaar</t>
  </si>
  <si>
    <t>kw/jaar</t>
  </si>
  <si>
    <t>euro/jaar</t>
  </si>
  <si>
    <t>euro/5jaar</t>
  </si>
  <si>
    <t>Aanschaf</t>
  </si>
  <si>
    <t>Gebruik</t>
  </si>
  <si>
    <t>1x45 + 3x100</t>
  </si>
  <si>
    <t>2x45 + 3x100</t>
  </si>
  <si>
    <t>1x45 + 2x300</t>
  </si>
  <si>
    <t>1x100 + 2x150</t>
  </si>
  <si>
    <t>2 x 300</t>
  </si>
  <si>
    <t>10 jaar</t>
  </si>
  <si>
    <t>3 x 150</t>
  </si>
  <si>
    <t>4 x 100</t>
  </si>
  <si>
    <t>1 x 45 + 3 x 100</t>
  </si>
  <si>
    <t>10  jaar</t>
  </si>
  <si>
    <t>euro/10jaar</t>
  </si>
  <si>
    <t xml:space="preserve"> </t>
  </si>
  <si>
    <t>Variant 4</t>
  </si>
  <si>
    <t>Variant 5</t>
  </si>
  <si>
    <t>Variant 6</t>
  </si>
  <si>
    <t>Variant 7</t>
  </si>
  <si>
    <t>Gebruikerskosten</t>
  </si>
  <si>
    <t>Aanschafkosten</t>
  </si>
  <si>
    <t>1x45 + 3x150</t>
  </si>
  <si>
    <t>Hoeveel uur vol</t>
  </si>
  <si>
    <t>Lozingsdebiet</t>
  </si>
  <si>
    <t>K</t>
  </si>
  <si>
    <t>aantal steps</t>
  </si>
  <si>
    <t>Totale hoogte</t>
  </si>
  <si>
    <t>Afgerond</t>
  </si>
  <si>
    <t>Hoogte (m)</t>
  </si>
  <si>
    <t>K (%)</t>
  </si>
  <si>
    <t>K2</t>
  </si>
  <si>
    <t>Valhoogte (m)</t>
  </si>
  <si>
    <t>k(%)</t>
  </si>
  <si>
    <t>T</t>
  </si>
  <si>
    <t>O2%</t>
  </si>
  <si>
    <t>Relative wandruwheid</t>
  </si>
  <si>
    <t>V (m/s)</t>
  </si>
  <si>
    <t>A (m2)</t>
  </si>
  <si>
    <t>Jaarlijks</t>
  </si>
  <si>
    <t>Pompberekening</t>
  </si>
  <si>
    <t>Diepte bak(2/3 valhoogte)</t>
  </si>
  <si>
    <t>Inhoud water</t>
  </si>
  <si>
    <t>Massa water</t>
  </si>
  <si>
    <t>Emergie</t>
  </si>
  <si>
    <t xml:space="preserve">Energie </t>
  </si>
  <si>
    <t>Vermogen</t>
  </si>
  <si>
    <t>Koude voorraad</t>
  </si>
  <si>
    <t>Cascade</t>
  </si>
  <si>
    <t>Distribution coeff. (kd)</t>
  </si>
  <si>
    <t>mg/l</t>
  </si>
  <si>
    <t>Cwe (effluent)</t>
  </si>
  <si>
    <t>Cw,o (influent)</t>
  </si>
  <si>
    <t>Cs (max. oplosbaarheid)</t>
  </si>
  <si>
    <t>%</t>
  </si>
  <si>
    <t>Berekening</t>
  </si>
  <si>
    <t>Aantal meters obstakels</t>
  </si>
  <si>
    <t>Combinaties kanaal boring</t>
  </si>
  <si>
    <t>Totale boorkosten</t>
  </si>
  <si>
    <t>Kosten leidingen &amp; boringen</t>
  </si>
  <si>
    <t>Verbruik</t>
  </si>
  <si>
    <t>verbruik p/j</t>
  </si>
  <si>
    <t>80% van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</si>
</sst>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0" fillId="2" borderId="0" xfId="0" applyNumberFormat="1" applyFill="1"/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0" applyNumberFormat="1" applyFill="1"/>
    <xf numFmtId="166" fontId="0" fillId="0" borderId="0" xfId="0" applyNumberFormat="1"/>
    <xf numFmtId="11" fontId="0" fillId="0" borderId="0" xfId="0" applyNumberFormat="1"/>
    <xf numFmtId="0" fontId="3" fillId="0" borderId="0" xfId="0" applyFont="1"/>
    <xf numFmtId="0" fontId="0" fillId="3" borderId="0" xfId="0" applyFill="1"/>
    <xf numFmtId="0" fontId="5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1" fontId="4" fillId="0" borderId="0" xfId="0" applyNumberFormat="1" applyFont="1"/>
    <xf numFmtId="167" fontId="0" fillId="0" borderId="0" xfId="0" applyNumberFormat="1"/>
    <xf numFmtId="16" fontId="0" fillId="0" borderId="0" xfId="0" applyNumberFormat="1"/>
    <xf numFmtId="0" fontId="6" fillId="0" borderId="0" xfId="0" applyFont="1"/>
    <xf numFmtId="165" fontId="5" fillId="3" borderId="0" xfId="0" applyNumberFormat="1" applyFont="1" applyFill="1"/>
    <xf numFmtId="16" fontId="0" fillId="0" borderId="0" xfId="0" quotePrefix="1" applyNumberFormat="1"/>
    <xf numFmtId="0" fontId="0" fillId="0" borderId="0" xfId="0" quotePrefix="1"/>
    <xf numFmtId="0" fontId="7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4" borderId="0" xfId="0" applyFill="1"/>
    <xf numFmtId="0" fontId="2" fillId="4" borderId="0" xfId="0" applyFont="1" applyFill="1"/>
    <xf numFmtId="0" fontId="2" fillId="0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7" borderId="0" xfId="0" applyFont="1" applyFill="1"/>
    <xf numFmtId="0" fontId="0" fillId="8" borderId="0" xfId="0" applyFill="1"/>
    <xf numFmtId="0" fontId="2" fillId="8" borderId="0" xfId="0" applyFont="1" applyFill="1"/>
    <xf numFmtId="0" fontId="0" fillId="9" borderId="0" xfId="0" applyFill="1"/>
    <xf numFmtId="0" fontId="2" fillId="9" borderId="0" xfId="0" applyFont="1" applyFill="1"/>
    <xf numFmtId="0" fontId="0" fillId="10" borderId="0" xfId="0" applyFill="1"/>
    <xf numFmtId="0" fontId="2" fillId="10" borderId="0" xfId="0" applyFont="1" applyFill="1"/>
    <xf numFmtId="1" fontId="0" fillId="0" borderId="0" xfId="0" applyNumberFormat="1"/>
    <xf numFmtId="9" fontId="0" fillId="0" borderId="0" xfId="0" applyNumberFormat="1"/>
    <xf numFmtId="0" fontId="1" fillId="3" borderId="0" xfId="0" applyFont="1" applyFill="1"/>
    <xf numFmtId="166" fontId="0" fillId="3" borderId="0" xfId="0" applyNumberFormat="1" applyFill="1"/>
    <xf numFmtId="165" fontId="0" fillId="3" borderId="0" xfId="0" applyNumberFormat="1" applyFill="1"/>
    <xf numFmtId="0" fontId="0" fillId="0" borderId="1" xfId="0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400"/>
              <a:t>Drukverlies leidingtracé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461097665822073E-2"/>
          <c:y val="0.1184832719151188"/>
          <c:w val="0.78674650517170197"/>
          <c:h val="0.66396626497636024"/>
        </c:manualLayout>
      </c:layout>
      <c:scatterChart>
        <c:scatterStyle val="smoothMarker"/>
        <c:varyColors val="0"/>
        <c:ser>
          <c:idx val="0"/>
          <c:order val="0"/>
          <c:tx>
            <c:v>287 m3/uur</c:v>
          </c:tx>
          <c:marker>
            <c:symbol val="none"/>
          </c:marker>
          <c:xVal>
            <c:numRef>
              <c:f>Berekening!$I$24:$I$33</c:f>
              <c:numCache>
                <c:formatCode>General</c:formatCode>
                <c:ptCount val="10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</c:numCache>
            </c:numRef>
          </c:xVal>
          <c:yVal>
            <c:numRef>
              <c:f>Berekening!$K$24:$K$33</c:f>
              <c:numCache>
                <c:formatCode>General</c:formatCode>
                <c:ptCount val="10"/>
                <c:pt idx="0">
                  <c:v>30.407436546003474</c:v>
                </c:pt>
                <c:pt idx="1">
                  <c:v>11.919232163987518</c:v>
                </c:pt>
                <c:pt idx="2">
                  <c:v>5.4610237361360436</c:v>
                </c:pt>
                <c:pt idx="3">
                  <c:v>2.7989165106596894</c:v>
                </c:pt>
                <c:pt idx="4">
                  <c:v>1.5602387936943438</c:v>
                </c:pt>
                <c:pt idx="5">
                  <c:v>0.92827404279406878</c:v>
                </c:pt>
                <c:pt idx="6">
                  <c:v>0.58171240816917691</c:v>
                </c:pt>
                <c:pt idx="7">
                  <c:v>0.38030614001829965</c:v>
                </c:pt>
                <c:pt idx="8">
                  <c:v>0.25754462549719637</c:v>
                </c:pt>
                <c:pt idx="9">
                  <c:v>0.17967778793270878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1552"/>
        <c:axId val="76272128"/>
      </c:scatterChart>
      <c:valAx>
        <c:axId val="7627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Leidingdiameter</a:t>
                </a:r>
                <a:r>
                  <a:rPr lang="en-US" baseline="0"/>
                  <a:t> in 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72128"/>
        <c:crosses val="autoZero"/>
        <c:crossBetween val="midCat"/>
      </c:valAx>
      <c:valAx>
        <c:axId val="76272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Bar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71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Koude voorraad</c:v>
          </c:tx>
          <c:marker>
            <c:symbol val="none"/>
          </c:marker>
          <c:xVal>
            <c:numRef>
              <c:f>Berekening!$N$19:$N$28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xVal>
          <c:yVal>
            <c:numRef>
              <c:f>Berekening!$O$19:$O$28</c:f>
              <c:numCache>
                <c:formatCode>General</c:formatCode>
                <c:ptCount val="10"/>
                <c:pt idx="0">
                  <c:v>18.809999999999999</c:v>
                </c:pt>
                <c:pt idx="1">
                  <c:v>25.08</c:v>
                </c:pt>
                <c:pt idx="2">
                  <c:v>31.35</c:v>
                </c:pt>
                <c:pt idx="3">
                  <c:v>37.619999999999997</c:v>
                </c:pt>
                <c:pt idx="4">
                  <c:v>43.89</c:v>
                </c:pt>
                <c:pt idx="5">
                  <c:v>50.16</c:v>
                </c:pt>
                <c:pt idx="6">
                  <c:v>56.43</c:v>
                </c:pt>
                <c:pt idx="7">
                  <c:v>62.7</c:v>
                </c:pt>
                <c:pt idx="8">
                  <c:v>68.97</c:v>
                </c:pt>
                <c:pt idx="9">
                  <c:v>75.239999999999995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3856"/>
        <c:axId val="76274432"/>
      </c:scatterChart>
      <c:valAx>
        <c:axId val="7627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baseline="0"/>
                  <a:t>Δ</a:t>
                </a:r>
                <a:r>
                  <a:rPr lang="nl-NL" baseline="0"/>
                  <a:t> T in C⁰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74432"/>
        <c:crosses val="autoZero"/>
        <c:crossBetween val="midCat"/>
      </c:valAx>
      <c:valAx>
        <c:axId val="7627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Energie in TJ</a:t>
                </a:r>
              </a:p>
            </c:rich>
          </c:tx>
          <c:layout>
            <c:manualLayout>
              <c:xMode val="edge"/>
              <c:yMode val="edge"/>
              <c:x val="1.7807456872565387E-2"/>
              <c:y val="0.378915000109457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6273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Berekening!$I$23:$I$33</c:f>
              <c:numCache>
                <c:formatCode>General</c:formatCode>
                <c:ptCount val="11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</c:numCache>
            </c:numRef>
          </c:xVal>
          <c:yVal>
            <c:numRef>
              <c:f>Berekening!$K$23:$K$33</c:f>
              <c:numCache>
                <c:formatCode>General</c:formatCode>
                <c:ptCount val="11"/>
                <c:pt idx="0">
                  <c:v>97.558557636639136</c:v>
                </c:pt>
                <c:pt idx="1">
                  <c:v>30.407436546003474</c:v>
                </c:pt>
                <c:pt idx="2">
                  <c:v>11.919232163987518</c:v>
                </c:pt>
                <c:pt idx="3">
                  <c:v>5.4610237361360436</c:v>
                </c:pt>
                <c:pt idx="4">
                  <c:v>2.7989165106596894</c:v>
                </c:pt>
                <c:pt idx="5">
                  <c:v>1.5602387936943438</c:v>
                </c:pt>
                <c:pt idx="6">
                  <c:v>0.92827404279406878</c:v>
                </c:pt>
                <c:pt idx="7">
                  <c:v>0.58171240816917691</c:v>
                </c:pt>
                <c:pt idx="8">
                  <c:v>0.38030614001829965</c:v>
                </c:pt>
                <c:pt idx="9">
                  <c:v>0.25754462549719637</c:v>
                </c:pt>
                <c:pt idx="10">
                  <c:v>0.17967778793270878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19648"/>
        <c:axId val="114820224"/>
      </c:scatterChart>
      <c:valAx>
        <c:axId val="11481964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14820224"/>
        <c:crosses val="autoZero"/>
        <c:crossBetween val="midCat"/>
      </c:valAx>
      <c:valAx>
        <c:axId val="114820224"/>
        <c:scaling>
          <c:orientation val="minMax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crossAx val="114819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Leemslagenplas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'Zuurstof en temperatuur'!$C$1</c:f>
              <c:strCache>
                <c:ptCount val="1"/>
                <c:pt idx="0">
                  <c:v>29-aug</c:v>
                </c:pt>
              </c:strCache>
            </c:strRef>
          </c:tx>
          <c:marker>
            <c:symbol val="none"/>
          </c:marker>
          <c:xVal>
            <c:numRef>
              <c:f>'Zuurstof en temperatuur'!$D$3:$D$26</c:f>
              <c:numCache>
                <c:formatCode>General</c:formatCode>
                <c:ptCount val="24"/>
                <c:pt idx="0">
                  <c:v>23.4</c:v>
                </c:pt>
                <c:pt idx="1">
                  <c:v>22.8</c:v>
                </c:pt>
                <c:pt idx="2">
                  <c:v>22.6</c:v>
                </c:pt>
                <c:pt idx="3">
                  <c:v>22.6</c:v>
                </c:pt>
                <c:pt idx="4">
                  <c:v>22.5</c:v>
                </c:pt>
                <c:pt idx="5">
                  <c:v>22.2</c:v>
                </c:pt>
                <c:pt idx="6">
                  <c:v>20.7</c:v>
                </c:pt>
                <c:pt idx="7">
                  <c:v>18</c:v>
                </c:pt>
                <c:pt idx="8">
                  <c:v>14.7</c:v>
                </c:pt>
                <c:pt idx="9">
                  <c:v>12.3</c:v>
                </c:pt>
                <c:pt idx="10">
                  <c:v>10.199999999999999</c:v>
                </c:pt>
                <c:pt idx="11">
                  <c:v>9</c:v>
                </c:pt>
                <c:pt idx="12">
                  <c:v>8.3000000000000007</c:v>
                </c:pt>
                <c:pt idx="13">
                  <c:v>7.6</c:v>
                </c:pt>
                <c:pt idx="14">
                  <c:v>7.4</c:v>
                </c:pt>
                <c:pt idx="15">
                  <c:v>7.1</c:v>
                </c:pt>
                <c:pt idx="16">
                  <c:v>6.9</c:v>
                </c:pt>
                <c:pt idx="17">
                  <c:v>6.7</c:v>
                </c:pt>
                <c:pt idx="18">
                  <c:v>6.6</c:v>
                </c:pt>
                <c:pt idx="19">
                  <c:v>6.4</c:v>
                </c:pt>
                <c:pt idx="20">
                  <c:v>6.4</c:v>
                </c:pt>
                <c:pt idx="21">
                  <c:v>6.8</c:v>
                </c:pt>
                <c:pt idx="22">
                  <c:v>7.1</c:v>
                </c:pt>
                <c:pt idx="23">
                  <c:v>7.1</c:v>
                </c:pt>
              </c:numCache>
            </c:numRef>
          </c:xVal>
          <c:yVal>
            <c:numRef>
              <c:f>'Zuurstof en temperatuur'!$B$3:$B$26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  <c:pt idx="23">
                  <c:v>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'Zuurstof en temperatuur'!$F$1</c:f>
              <c:strCache>
                <c:ptCount val="1"/>
                <c:pt idx="0">
                  <c:v>7-nov</c:v>
                </c:pt>
              </c:strCache>
            </c:strRef>
          </c:tx>
          <c:marker>
            <c:symbol val="none"/>
          </c:marker>
          <c:xVal>
            <c:numRef>
              <c:f>'Zuurstof en temperatuur'!$G$3:$G$26</c:f>
              <c:numCache>
                <c:formatCode>General</c:formatCode>
                <c:ptCount val="24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9.8000000000000007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9.8000000000000007</c:v>
                </c:pt>
                <c:pt idx="8">
                  <c:v>9.8000000000000007</c:v>
                </c:pt>
                <c:pt idx="9">
                  <c:v>9.8000000000000007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9.8000000000000007</c:v>
                </c:pt>
                <c:pt idx="13">
                  <c:v>9.8000000000000007</c:v>
                </c:pt>
                <c:pt idx="14">
                  <c:v>9.8000000000000007</c:v>
                </c:pt>
                <c:pt idx="15">
                  <c:v>9.1</c:v>
                </c:pt>
                <c:pt idx="16">
                  <c:v>7.3</c:v>
                </c:pt>
                <c:pt idx="17">
                  <c:v>6.8</c:v>
                </c:pt>
                <c:pt idx="18">
                  <c:v>6.6</c:v>
                </c:pt>
                <c:pt idx="19">
                  <c:v>6.5</c:v>
                </c:pt>
                <c:pt idx="20">
                  <c:v>6.5</c:v>
                </c:pt>
                <c:pt idx="21">
                  <c:v>6.8</c:v>
                </c:pt>
                <c:pt idx="22">
                  <c:v>6.6</c:v>
                </c:pt>
                <c:pt idx="23">
                  <c:v>6.5</c:v>
                </c:pt>
              </c:numCache>
            </c:numRef>
          </c:xVal>
          <c:yVal>
            <c:numRef>
              <c:f>'Zuurstof en temperatuur'!$B$3:$B$26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  <c:pt idx="23">
                  <c:v>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'Zuurstof en temperatuur'!$I$1</c:f>
              <c:strCache>
                <c:ptCount val="1"/>
                <c:pt idx="0">
                  <c:v>4-mrt</c:v>
                </c:pt>
              </c:strCache>
            </c:strRef>
          </c:tx>
          <c:marker>
            <c:symbol val="none"/>
          </c:marker>
          <c:xVal>
            <c:numRef>
              <c:f>'Zuurstof en temperatuur'!$J$3:$J$25</c:f>
              <c:numCache>
                <c:formatCode>General</c:formatCode>
                <c:ptCount val="23"/>
                <c:pt idx="0">
                  <c:v>3.9</c:v>
                </c:pt>
                <c:pt idx="1">
                  <c:v>4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</c:numCache>
            </c:numRef>
          </c:xVal>
          <c:yVal>
            <c:numRef>
              <c:f>'Zuurstof en temperatuur'!$B$3:$B$26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  <c:pt idx="23">
                  <c:v>35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'Zuurstof en temperatuur'!$L$1</c:f>
              <c:strCache>
                <c:ptCount val="1"/>
                <c:pt idx="0">
                  <c:v>18-jun</c:v>
                </c:pt>
              </c:strCache>
            </c:strRef>
          </c:tx>
          <c:marker>
            <c:symbol val="none"/>
          </c:marker>
          <c:xVal>
            <c:numRef>
              <c:f>'Zuurstof en temperatuur'!$M$3:$M$24</c:f>
              <c:numCache>
                <c:formatCode>General</c:formatCode>
                <c:ptCount val="22"/>
                <c:pt idx="0">
                  <c:v>22.4</c:v>
                </c:pt>
                <c:pt idx="1">
                  <c:v>22.3</c:v>
                </c:pt>
                <c:pt idx="2">
                  <c:v>22.1</c:v>
                </c:pt>
                <c:pt idx="3">
                  <c:v>21.9</c:v>
                </c:pt>
                <c:pt idx="4">
                  <c:v>21.5</c:v>
                </c:pt>
                <c:pt idx="5">
                  <c:v>18.7</c:v>
                </c:pt>
                <c:pt idx="6">
                  <c:v>16.399999999999999</c:v>
                </c:pt>
                <c:pt idx="7">
                  <c:v>13.8</c:v>
                </c:pt>
                <c:pt idx="8">
                  <c:v>11.2</c:v>
                </c:pt>
                <c:pt idx="9">
                  <c:v>9.1999999999999993</c:v>
                </c:pt>
                <c:pt idx="10">
                  <c:v>8.1</c:v>
                </c:pt>
                <c:pt idx="11">
                  <c:v>7.2</c:v>
                </c:pt>
                <c:pt idx="12">
                  <c:v>6.4</c:v>
                </c:pt>
                <c:pt idx="13">
                  <c:v>5.9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  <c:pt idx="17">
                  <c:v>5.3</c:v>
                </c:pt>
                <c:pt idx="18">
                  <c:v>5.2</c:v>
                </c:pt>
                <c:pt idx="19">
                  <c:v>5.0999999999999996</c:v>
                </c:pt>
                <c:pt idx="20">
                  <c:v>5</c:v>
                </c:pt>
                <c:pt idx="21">
                  <c:v>5</c:v>
                </c:pt>
              </c:numCache>
            </c:numRef>
          </c:xVal>
          <c:yVal>
            <c:numRef>
              <c:f>'Zuurstof en temperatuur'!$B$3:$B$26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  <c:pt idx="23">
                  <c:v>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26560"/>
        <c:axId val="114876416"/>
      </c:scatterChart>
      <c:valAx>
        <c:axId val="1148265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Temperatuur in C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876416"/>
        <c:crosses val="autoZero"/>
        <c:crossBetween val="midCat"/>
      </c:valAx>
      <c:valAx>
        <c:axId val="11487641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Diepte</a:t>
                </a:r>
                <a:r>
                  <a:rPr lang="nl-NL" baseline="0"/>
                  <a:t> in meters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826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Leemslagenplas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'Zuurstof en temperatuur'!$C$1</c:f>
              <c:strCache>
                <c:ptCount val="1"/>
                <c:pt idx="0">
                  <c:v>29-aug</c:v>
                </c:pt>
              </c:strCache>
            </c:strRef>
          </c:tx>
          <c:marker>
            <c:symbol val="none"/>
          </c:marker>
          <c:xVal>
            <c:numRef>
              <c:f>'Zuurstof en temperatuur'!$C$3:$C$26</c:f>
              <c:numCache>
                <c:formatCode>General</c:formatCode>
                <c:ptCount val="24"/>
                <c:pt idx="0">
                  <c:v>119</c:v>
                </c:pt>
                <c:pt idx="1">
                  <c:v>118</c:v>
                </c:pt>
                <c:pt idx="2">
                  <c:v>120</c:v>
                </c:pt>
                <c:pt idx="3">
                  <c:v>121</c:v>
                </c:pt>
                <c:pt idx="4">
                  <c:v>120</c:v>
                </c:pt>
                <c:pt idx="5">
                  <c:v>119</c:v>
                </c:pt>
                <c:pt idx="6">
                  <c:v>131</c:v>
                </c:pt>
                <c:pt idx="7">
                  <c:v>125</c:v>
                </c:pt>
                <c:pt idx="8">
                  <c:v>119</c:v>
                </c:pt>
                <c:pt idx="9">
                  <c:v>110</c:v>
                </c:pt>
                <c:pt idx="10">
                  <c:v>86</c:v>
                </c:pt>
                <c:pt idx="11">
                  <c:v>59</c:v>
                </c:pt>
                <c:pt idx="12">
                  <c:v>47</c:v>
                </c:pt>
                <c:pt idx="13">
                  <c:v>42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41</c:v>
                </c:pt>
                <c:pt idx="20">
                  <c:v>41</c:v>
                </c:pt>
                <c:pt idx="21">
                  <c:v>39</c:v>
                </c:pt>
                <c:pt idx="22">
                  <c:v>36</c:v>
                </c:pt>
                <c:pt idx="23">
                  <c:v>21</c:v>
                </c:pt>
              </c:numCache>
            </c:numRef>
          </c:xVal>
          <c:yVal>
            <c:numRef>
              <c:f>'Zuurstof en temperatuur'!$B$3:$B$26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  <c:pt idx="23">
                  <c:v>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'Zuurstof en temperatuur'!$F$1</c:f>
              <c:strCache>
                <c:ptCount val="1"/>
                <c:pt idx="0">
                  <c:v>7-nov</c:v>
                </c:pt>
              </c:strCache>
            </c:strRef>
          </c:tx>
          <c:marker>
            <c:symbol val="none"/>
          </c:marker>
          <c:xVal>
            <c:numRef>
              <c:f>'Zuurstof en temperatuur'!$F$3:$F$26</c:f>
              <c:numCache>
                <c:formatCode>General</c:formatCode>
                <c:ptCount val="24"/>
                <c:pt idx="0">
                  <c:v>88</c:v>
                </c:pt>
                <c:pt idx="1">
                  <c:v>87</c:v>
                </c:pt>
                <c:pt idx="2">
                  <c:v>87</c:v>
                </c:pt>
                <c:pt idx="3">
                  <c:v>86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44</c:v>
                </c:pt>
                <c:pt idx="16">
                  <c:v>22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19</c:v>
                </c:pt>
                <c:pt idx="21">
                  <c:v>23</c:v>
                </c:pt>
                <c:pt idx="22">
                  <c:v>20</c:v>
                </c:pt>
                <c:pt idx="23">
                  <c:v>4</c:v>
                </c:pt>
              </c:numCache>
            </c:numRef>
          </c:xVal>
          <c:yVal>
            <c:numRef>
              <c:f>'Zuurstof en temperatuur'!$B$3:$B$26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  <c:pt idx="23">
                  <c:v>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'Zuurstof en temperatuur'!$I$1</c:f>
              <c:strCache>
                <c:ptCount val="1"/>
                <c:pt idx="0">
                  <c:v>4-mrt</c:v>
                </c:pt>
              </c:strCache>
            </c:strRef>
          </c:tx>
          <c:marker>
            <c:symbol val="none"/>
          </c:marker>
          <c:xVal>
            <c:numRef>
              <c:f>'Zuurstof en temperatuur'!$I$3:$I$25</c:f>
              <c:numCache>
                <c:formatCode>General</c:formatCode>
                <c:ptCount val="23"/>
                <c:pt idx="0">
                  <c:v>94</c:v>
                </c:pt>
                <c:pt idx="1">
                  <c:v>95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95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  <c:pt idx="18">
                  <c:v>94</c:v>
                </c:pt>
                <c:pt idx="19">
                  <c:v>93</c:v>
                </c:pt>
                <c:pt idx="20">
                  <c:v>93</c:v>
                </c:pt>
                <c:pt idx="21">
                  <c:v>94</c:v>
                </c:pt>
                <c:pt idx="22">
                  <c:v>94</c:v>
                </c:pt>
              </c:numCache>
            </c:numRef>
          </c:xVal>
          <c:yVal>
            <c:numRef>
              <c:f>'Zuurstof en temperatuur'!$B$3:$B$25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  <c:pt idx="22">
                  <c:v>30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'Zuurstof en temperatuur'!$L$1</c:f>
              <c:strCache>
                <c:ptCount val="1"/>
                <c:pt idx="0">
                  <c:v>18-jun</c:v>
                </c:pt>
              </c:strCache>
            </c:strRef>
          </c:tx>
          <c:marker>
            <c:symbol val="none"/>
          </c:marker>
          <c:xVal>
            <c:numRef>
              <c:f>'Zuurstof en temperatuur'!$L$3:$L$24</c:f>
              <c:numCache>
                <c:formatCode>General</c:formatCode>
                <c:ptCount val="22"/>
                <c:pt idx="0">
                  <c:v>117</c:v>
                </c:pt>
                <c:pt idx="1">
                  <c:v>118</c:v>
                </c:pt>
                <c:pt idx="2">
                  <c:v>119</c:v>
                </c:pt>
                <c:pt idx="3">
                  <c:v>120</c:v>
                </c:pt>
                <c:pt idx="4">
                  <c:v>133</c:v>
                </c:pt>
                <c:pt idx="5">
                  <c:v>129</c:v>
                </c:pt>
                <c:pt idx="6">
                  <c:v>146</c:v>
                </c:pt>
                <c:pt idx="7">
                  <c:v>172</c:v>
                </c:pt>
                <c:pt idx="8">
                  <c:v>175</c:v>
                </c:pt>
                <c:pt idx="9">
                  <c:v>166</c:v>
                </c:pt>
                <c:pt idx="10">
                  <c:v>142</c:v>
                </c:pt>
                <c:pt idx="11">
                  <c:v>111</c:v>
                </c:pt>
                <c:pt idx="12">
                  <c:v>86</c:v>
                </c:pt>
                <c:pt idx="13">
                  <c:v>73</c:v>
                </c:pt>
                <c:pt idx="14">
                  <c:v>71</c:v>
                </c:pt>
                <c:pt idx="15">
                  <c:v>68</c:v>
                </c:pt>
                <c:pt idx="16">
                  <c:v>66</c:v>
                </c:pt>
                <c:pt idx="17">
                  <c:v>65</c:v>
                </c:pt>
                <c:pt idx="18">
                  <c:v>65</c:v>
                </c:pt>
                <c:pt idx="19">
                  <c:v>67</c:v>
                </c:pt>
                <c:pt idx="20">
                  <c:v>64</c:v>
                </c:pt>
                <c:pt idx="21">
                  <c:v>57</c:v>
                </c:pt>
              </c:numCache>
            </c:numRef>
          </c:xVal>
          <c:yVal>
            <c:numRef>
              <c:f>'Zuurstof en temperatuur'!$B$3:$B$24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79296"/>
        <c:axId val="114879872"/>
      </c:scatterChart>
      <c:valAx>
        <c:axId val="11487929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Zuurstofverzadigingsconcentratie</a:t>
                </a:r>
                <a:endParaRPr lang="nl-NL" sz="1000" b="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rich>
          </c:tx>
          <c:layout/>
          <c:overlay val="0"/>
          <c:spPr>
            <a:noFill/>
          </c:spPr>
        </c:title>
        <c:numFmt formatCode="General" sourceLinked="1"/>
        <c:majorTickMark val="out"/>
        <c:minorTickMark val="none"/>
        <c:tickLblPos val="nextTo"/>
        <c:crossAx val="114879872"/>
        <c:crosses val="autoZero"/>
        <c:crossBetween val="midCat"/>
      </c:valAx>
      <c:valAx>
        <c:axId val="11487987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b="0"/>
                  <a:t>Diepte in meters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879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34</xdr:row>
      <xdr:rowOff>133350</xdr:rowOff>
    </xdr:from>
    <xdr:to>
      <xdr:col>24</xdr:col>
      <xdr:colOff>409575</xdr:colOff>
      <xdr:row>49</xdr:row>
      <xdr:rowOff>114300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180974</xdr:colOff>
      <xdr:row>16</xdr:row>
      <xdr:rowOff>157161</xdr:rowOff>
    </xdr:from>
    <xdr:to>
      <xdr:col>24</xdr:col>
      <xdr:colOff>19049</xdr:colOff>
      <xdr:row>33</xdr:row>
      <xdr:rowOff>47624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781050</xdr:colOff>
      <xdr:row>34</xdr:row>
      <xdr:rowOff>95250</xdr:rowOff>
    </xdr:from>
    <xdr:to>
      <xdr:col>15</xdr:col>
      <xdr:colOff>571500</xdr:colOff>
      <xdr:row>52</xdr:row>
      <xdr:rowOff>180975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0</xdr:rowOff>
    </xdr:from>
    <xdr:to>
      <xdr:col>8</xdr:col>
      <xdr:colOff>295275</xdr:colOff>
      <xdr:row>16</xdr:row>
      <xdr:rowOff>123825</xdr:rowOff>
    </xdr:to>
    <xdr:sp macro="" textlink="">
      <xdr:nvSpPr>
        <xdr:cNvPr id="2" name="Gelijkbenige driehoek 1"/>
        <xdr:cNvSpPr/>
      </xdr:nvSpPr>
      <xdr:spPr>
        <a:xfrm rot="10800000">
          <a:off x="2619375" y="952500"/>
          <a:ext cx="3009900" cy="2219325"/>
        </a:xfrm>
        <a:prstGeom prst="triangle">
          <a:avLst>
            <a:gd name="adj" fmla="val 501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600074</xdr:colOff>
      <xdr:row>28</xdr:row>
      <xdr:rowOff>76200</xdr:rowOff>
    </xdr:from>
    <xdr:to>
      <xdr:col>21</xdr:col>
      <xdr:colOff>390525</xdr:colOff>
      <xdr:row>47</xdr:row>
      <xdr:rowOff>142875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28</xdr:row>
      <xdr:rowOff>128586</xdr:rowOff>
    </xdr:from>
    <xdr:to>
      <xdr:col>12</xdr:col>
      <xdr:colOff>28575</xdr:colOff>
      <xdr:row>50</xdr:row>
      <xdr:rowOff>28575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H22" workbookViewId="0">
      <selection activeCell="Q56" sqref="Q56"/>
    </sheetView>
  </sheetViews>
  <sheetFormatPr defaultRowHeight="15" x14ac:dyDescent="0.25"/>
  <cols>
    <col min="1" max="1" width="22.5703125" bestFit="1" customWidth="1"/>
    <col min="2" max="2" width="11.7109375" customWidth="1"/>
    <col min="3" max="3" width="11" bestFit="1" customWidth="1"/>
    <col min="4" max="4" width="16.140625" bestFit="1" customWidth="1"/>
    <col min="5" max="5" width="18.140625" bestFit="1" customWidth="1"/>
    <col min="6" max="6" width="12" bestFit="1" customWidth="1"/>
    <col min="7" max="7" width="13.140625" bestFit="1" customWidth="1"/>
    <col min="8" max="8" width="15.28515625" bestFit="1" customWidth="1"/>
    <col min="9" max="9" width="16.42578125" bestFit="1" customWidth="1"/>
    <col min="10" max="10" width="12" bestFit="1" customWidth="1"/>
    <col min="12" max="12" width="12" bestFit="1" customWidth="1"/>
    <col min="13" max="13" width="11" bestFit="1" customWidth="1"/>
    <col min="14" max="14" width="26.85546875" bestFit="1" customWidth="1"/>
    <col min="15" max="16" width="12" bestFit="1" customWidth="1"/>
    <col min="18" max="18" width="16.7109375" bestFit="1" customWidth="1"/>
    <col min="19" max="20" width="12" bestFit="1" customWidth="1"/>
    <col min="21" max="21" width="12.7109375" bestFit="1" customWidth="1"/>
    <col min="22" max="22" width="10.7109375" bestFit="1" customWidth="1"/>
  </cols>
  <sheetData>
    <row r="1" spans="1:25" x14ac:dyDescent="0.25">
      <c r="A1" s="4"/>
      <c r="E1" s="4" t="s">
        <v>179</v>
      </c>
      <c r="I1" s="4" t="s">
        <v>34</v>
      </c>
      <c r="N1" s="4"/>
      <c r="R1" s="4" t="s">
        <v>118</v>
      </c>
    </row>
    <row r="2" spans="1:25" x14ac:dyDescent="0.25">
      <c r="A2" s="4" t="s">
        <v>179</v>
      </c>
      <c r="E2" t="s">
        <v>10</v>
      </c>
      <c r="F2">
        <f>B8/365/24</f>
        <v>861.2440191387559</v>
      </c>
      <c r="G2" t="s">
        <v>11</v>
      </c>
      <c r="I2" t="s">
        <v>181</v>
      </c>
      <c r="J2" s="5">
        <v>1500000</v>
      </c>
      <c r="K2" t="s">
        <v>2</v>
      </c>
      <c r="R2" t="s">
        <v>115</v>
      </c>
      <c r="S2" s="1">
        <v>8</v>
      </c>
      <c r="T2" t="s">
        <v>61</v>
      </c>
    </row>
    <row r="3" spans="1:25" x14ac:dyDescent="0.25">
      <c r="A3" t="s">
        <v>6</v>
      </c>
      <c r="B3" s="1">
        <v>52560</v>
      </c>
      <c r="C3" t="s">
        <v>25</v>
      </c>
      <c r="E3" t="s">
        <v>13</v>
      </c>
      <c r="F3" s="1">
        <v>0.3</v>
      </c>
      <c r="G3" t="s">
        <v>15</v>
      </c>
      <c r="I3" t="s">
        <v>182</v>
      </c>
      <c r="J3">
        <f>J2*1000</f>
        <v>1500000000</v>
      </c>
      <c r="K3" t="s">
        <v>1</v>
      </c>
      <c r="N3" s="3"/>
      <c r="O3" s="6"/>
      <c r="R3" t="s">
        <v>126</v>
      </c>
      <c r="S3">
        <f>F7</f>
        <v>3.3844751322040469</v>
      </c>
      <c r="T3" t="s">
        <v>18</v>
      </c>
    </row>
    <row r="4" spans="1:25" x14ac:dyDescent="0.25">
      <c r="A4" t="s">
        <v>0</v>
      </c>
      <c r="B4">
        <f>(B3*3600000)*1000</f>
        <v>189216000000000</v>
      </c>
      <c r="C4" t="s">
        <v>4</v>
      </c>
      <c r="E4" t="s">
        <v>12</v>
      </c>
      <c r="F4">
        <f>F3/2</f>
        <v>0.15</v>
      </c>
      <c r="G4" t="s">
        <v>15</v>
      </c>
      <c r="I4" t="s">
        <v>7</v>
      </c>
      <c r="J4" s="1">
        <v>6</v>
      </c>
      <c r="K4" s="3" t="s">
        <v>79</v>
      </c>
      <c r="O4" s="18"/>
      <c r="R4" t="s">
        <v>112</v>
      </c>
      <c r="S4" s="1">
        <v>3.5</v>
      </c>
    </row>
    <row r="5" spans="1:25" x14ac:dyDescent="0.25">
      <c r="A5" t="s">
        <v>5</v>
      </c>
      <c r="B5">
        <v>4180</v>
      </c>
      <c r="C5" t="s">
        <v>3</v>
      </c>
      <c r="E5" t="s">
        <v>16</v>
      </c>
      <c r="F5">
        <f>PI()*(F4)^2</f>
        <v>7.0685834705770348E-2</v>
      </c>
      <c r="G5" t="s">
        <v>14</v>
      </c>
      <c r="I5" t="s">
        <v>183</v>
      </c>
      <c r="J5">
        <f>J3*B5*J4</f>
        <v>37620000000000</v>
      </c>
      <c r="K5" s="3" t="s">
        <v>119</v>
      </c>
      <c r="R5" t="s">
        <v>111</v>
      </c>
      <c r="S5">
        <f>S4*F3</f>
        <v>1.05</v>
      </c>
      <c r="T5" t="s">
        <v>15</v>
      </c>
    </row>
    <row r="6" spans="1:25" x14ac:dyDescent="0.25">
      <c r="A6" t="s">
        <v>7</v>
      </c>
      <c r="B6" s="1">
        <v>6</v>
      </c>
      <c r="C6" t="s">
        <v>8</v>
      </c>
      <c r="E6" t="s">
        <v>19</v>
      </c>
      <c r="F6" s="1">
        <v>0.02</v>
      </c>
      <c r="I6" t="s">
        <v>184</v>
      </c>
      <c r="J6">
        <f>J5*(10^-12)</f>
        <v>37.619999999999997</v>
      </c>
      <c r="K6" t="s">
        <v>31</v>
      </c>
      <c r="R6" t="s">
        <v>116</v>
      </c>
      <c r="S6" s="1">
        <v>90</v>
      </c>
      <c r="T6" t="s">
        <v>117</v>
      </c>
    </row>
    <row r="7" spans="1:25" x14ac:dyDescent="0.25">
      <c r="A7" t="s">
        <v>9</v>
      </c>
      <c r="B7">
        <f>(B4/B5)/B6</f>
        <v>7544497607.6555023</v>
      </c>
      <c r="C7" t="s">
        <v>1</v>
      </c>
      <c r="E7" t="s">
        <v>17</v>
      </c>
      <c r="F7">
        <f>(F2/3600)/F5</f>
        <v>3.3844751322040469</v>
      </c>
      <c r="G7" t="s">
        <v>18</v>
      </c>
      <c r="I7" t="s">
        <v>185</v>
      </c>
      <c r="J7">
        <f>(J6/36)*10000</f>
        <v>10450</v>
      </c>
      <c r="K7" t="s">
        <v>32</v>
      </c>
      <c r="N7" s="3"/>
      <c r="R7" t="s">
        <v>113</v>
      </c>
      <c r="S7">
        <f>(0.44*F3^2)/(S5^2)+6*0.01628</f>
        <v>0.13359836734693875</v>
      </c>
      <c r="T7" s="24" t="s">
        <v>27</v>
      </c>
      <c r="U7">
        <v>45</v>
      </c>
    </row>
    <row r="8" spans="1:25" x14ac:dyDescent="0.25">
      <c r="A8" t="s">
        <v>9</v>
      </c>
      <c r="B8">
        <f>B7/1000</f>
        <v>7544497.6076555019</v>
      </c>
      <c r="C8" t="s">
        <v>2</v>
      </c>
      <c r="E8" t="s">
        <v>76</v>
      </c>
      <c r="F8" s="1">
        <v>100</v>
      </c>
      <c r="G8" t="s">
        <v>15</v>
      </c>
      <c r="N8" s="3"/>
      <c r="R8" s="3" t="s">
        <v>114</v>
      </c>
      <c r="S8">
        <f>S7*SIN(U7*PI()/180)*((S3^2)/(2*9.81))</f>
        <v>5.5153084362433616E-2</v>
      </c>
      <c r="T8" t="s">
        <v>15</v>
      </c>
    </row>
    <row r="9" spans="1:25" x14ac:dyDescent="0.25">
      <c r="A9" t="s">
        <v>9</v>
      </c>
      <c r="B9" s="2">
        <f>B8*10^-6</f>
        <v>7.5444976076555017</v>
      </c>
      <c r="C9" t="s">
        <v>22</v>
      </c>
      <c r="E9" t="s">
        <v>77</v>
      </c>
      <c r="F9" s="8">
        <f>F8/F7/60</f>
        <v>0.4924446484502002</v>
      </c>
      <c r="G9" t="s">
        <v>78</v>
      </c>
      <c r="S9">
        <f>S8*0.098</f>
        <v>5.4050022675184942E-3</v>
      </c>
      <c r="T9" t="s">
        <v>66</v>
      </c>
    </row>
    <row r="10" spans="1:25" x14ac:dyDescent="0.25">
      <c r="P10" s="17"/>
      <c r="R10" s="3" t="s">
        <v>64</v>
      </c>
      <c r="S10">
        <f>S8*S2</f>
        <v>0.44122467489946893</v>
      </c>
      <c r="T10" t="s">
        <v>15</v>
      </c>
    </row>
    <row r="11" spans="1:25" x14ac:dyDescent="0.25">
      <c r="A11" s="4" t="s">
        <v>33</v>
      </c>
      <c r="E11" s="4" t="s">
        <v>23</v>
      </c>
      <c r="N11" s="3"/>
      <c r="R11" s="3" t="s">
        <v>0</v>
      </c>
      <c r="S11">
        <f>S10*0.098</f>
        <v>4.3240018140147954E-2</v>
      </c>
      <c r="T11" t="s">
        <v>66</v>
      </c>
      <c r="Y11" s="8"/>
    </row>
    <row r="12" spans="1:25" x14ac:dyDescent="0.25">
      <c r="A12" t="s">
        <v>24</v>
      </c>
      <c r="B12" s="1">
        <v>6</v>
      </c>
      <c r="C12" t="s">
        <v>25</v>
      </c>
      <c r="E12" s="1">
        <v>10</v>
      </c>
      <c r="F12" s="3" t="s">
        <v>79</v>
      </c>
      <c r="I12" s="4" t="s">
        <v>35</v>
      </c>
      <c r="N12" s="3"/>
      <c r="O12" s="19"/>
      <c r="R12" s="3" t="s">
        <v>0</v>
      </c>
      <c r="S12">
        <f>S11*100</f>
        <v>4.3240018140147951</v>
      </c>
      <c r="T12" t="s">
        <v>110</v>
      </c>
    </row>
    <row r="13" spans="1:25" x14ac:dyDescent="0.25">
      <c r="A13" t="s">
        <v>26</v>
      </c>
      <c r="B13">
        <v>8760</v>
      </c>
      <c r="C13" t="s">
        <v>27</v>
      </c>
      <c r="E13">
        <f>F2</f>
        <v>861.2440191387559</v>
      </c>
      <c r="F13" t="s">
        <v>11</v>
      </c>
      <c r="I13" t="s">
        <v>10</v>
      </c>
      <c r="J13" s="1">
        <v>644</v>
      </c>
      <c r="K13" t="s">
        <v>11</v>
      </c>
      <c r="N13" s="3"/>
    </row>
    <row r="14" spans="1:25" x14ac:dyDescent="0.25">
      <c r="A14" t="s">
        <v>178</v>
      </c>
      <c r="B14">
        <f>B12*B13</f>
        <v>52560</v>
      </c>
      <c r="C14" t="s">
        <v>25</v>
      </c>
      <c r="E14">
        <f>E13/3600</f>
        <v>0.23923444976076552</v>
      </c>
      <c r="F14" t="s">
        <v>20</v>
      </c>
      <c r="I14" t="s">
        <v>10</v>
      </c>
      <c r="J14">
        <f>J13/3600</f>
        <v>0.17888888888888888</v>
      </c>
      <c r="K14" t="s">
        <v>20</v>
      </c>
    </row>
    <row r="15" spans="1:25" x14ac:dyDescent="0.25">
      <c r="E15">
        <f>E14*1000</f>
        <v>239.23444976076553</v>
      </c>
      <c r="F15" t="s">
        <v>21</v>
      </c>
      <c r="I15" t="s">
        <v>38</v>
      </c>
      <c r="J15">
        <f>J14/J16</f>
        <v>0.12337164750957853</v>
      </c>
      <c r="K15" t="s">
        <v>14</v>
      </c>
    </row>
    <row r="16" spans="1:25" x14ac:dyDescent="0.25">
      <c r="E16">
        <f>E15*1000</f>
        <v>239234.44976076554</v>
      </c>
      <c r="F16" t="s">
        <v>29</v>
      </c>
      <c r="I16" t="s">
        <v>37</v>
      </c>
      <c r="J16" s="1">
        <v>1.45</v>
      </c>
      <c r="K16" t="s">
        <v>18</v>
      </c>
    </row>
    <row r="17" spans="1:15" x14ac:dyDescent="0.25">
      <c r="E17">
        <f>E16*4.18*B6</f>
        <v>5999999.9999999991</v>
      </c>
      <c r="F17" t="s">
        <v>30</v>
      </c>
      <c r="I17" t="s">
        <v>36</v>
      </c>
      <c r="J17" s="7">
        <f>(SQRT(J15/(PI())))*2</f>
        <v>0.396335287740472</v>
      </c>
      <c r="K17" t="s">
        <v>15</v>
      </c>
      <c r="N17" s="4" t="s">
        <v>186</v>
      </c>
    </row>
    <row r="18" spans="1:15" x14ac:dyDescent="0.25">
      <c r="E18">
        <f>E17/1000</f>
        <v>5999.9999999999991</v>
      </c>
      <c r="F18" t="s">
        <v>28</v>
      </c>
      <c r="I18" t="s">
        <v>39</v>
      </c>
      <c r="J18" s="7">
        <f>J17/2</f>
        <v>0.198167643870236</v>
      </c>
      <c r="K18" t="s">
        <v>15</v>
      </c>
      <c r="N18" s="3" t="s">
        <v>79</v>
      </c>
      <c r="O18" s="3" t="s">
        <v>31</v>
      </c>
    </row>
    <row r="19" spans="1:15" x14ac:dyDescent="0.25">
      <c r="N19">
        <v>3</v>
      </c>
      <c r="O19">
        <v>18.809999999999999</v>
      </c>
    </row>
    <row r="20" spans="1:15" x14ac:dyDescent="0.25">
      <c r="A20" s="4" t="s">
        <v>51</v>
      </c>
      <c r="N20">
        <v>4</v>
      </c>
      <c r="O20">
        <v>25.08</v>
      </c>
    </row>
    <row r="21" spans="1:15" ht="15" customHeight="1" x14ac:dyDescent="0.25">
      <c r="A21" t="s">
        <v>42</v>
      </c>
      <c r="B21" s="1">
        <v>4400</v>
      </c>
      <c r="D21" s="45" t="s">
        <v>44</v>
      </c>
      <c r="E21" s="13" t="s">
        <v>41</v>
      </c>
      <c r="F21" s="13" t="s">
        <v>175</v>
      </c>
      <c r="G21" s="14" t="s">
        <v>176</v>
      </c>
      <c r="H21" s="14" t="s">
        <v>177</v>
      </c>
      <c r="I21" s="14" t="s">
        <v>67</v>
      </c>
      <c r="J21" s="14" t="s">
        <v>71</v>
      </c>
      <c r="K21" s="14" t="s">
        <v>75</v>
      </c>
      <c r="L21" s="14" t="s">
        <v>110</v>
      </c>
      <c r="N21">
        <v>5</v>
      </c>
      <c r="O21">
        <v>31.35</v>
      </c>
    </row>
    <row r="22" spans="1:15" ht="21" customHeight="1" x14ac:dyDescent="0.25">
      <c r="A22" s="3" t="s">
        <v>43</v>
      </c>
      <c r="B22">
        <v>1002</v>
      </c>
      <c r="C22" t="s">
        <v>65</v>
      </c>
      <c r="D22" s="46">
        <f>0.25/(LOG((F22/(3.7*I22)+(5.74/(E22^0.9)))))^2</f>
        <v>1.8016225133561943E-2</v>
      </c>
      <c r="E22" s="47">
        <f>(G22*$B$22*I22)/$B$27</f>
        <v>1556211.4336375322</v>
      </c>
      <c r="F22" s="46">
        <f>$B$25/I22</f>
        <v>8.0000000000000007E-5</v>
      </c>
      <c r="G22" s="13">
        <f>$F$2/3600/H22</f>
        <v>19.494576761495313</v>
      </c>
      <c r="H22" s="13">
        <f>PI()*(I22/2)^2</f>
        <v>1.2271846303085129E-2</v>
      </c>
      <c r="I22" s="13">
        <v>0.125</v>
      </c>
      <c r="J22" s="13">
        <f t="shared" ref="J22:J33" si="0">(D22*$B$21*G22^2)/(I22*2*$B$23)</f>
        <v>12283.866342019082</v>
      </c>
      <c r="K22" s="13">
        <f>J22*0.098</f>
        <v>1203.81890151787</v>
      </c>
      <c r="L22" s="22">
        <f>K22*100</f>
        <v>120381.890151787</v>
      </c>
      <c r="N22">
        <v>6</v>
      </c>
      <c r="O22">
        <v>37.619999999999997</v>
      </c>
    </row>
    <row r="23" spans="1:15" ht="15" customHeight="1" x14ac:dyDescent="0.25">
      <c r="A23" s="3" t="s">
        <v>47</v>
      </c>
      <c r="B23">
        <v>9.81</v>
      </c>
      <c r="C23" t="s">
        <v>18</v>
      </c>
      <c r="D23" s="46">
        <f t="shared" ref="D23:D33" si="1">0.25/(LOG((F23/(3.7*I23)+(5.74/(E23^0.9)))))^2</f>
        <v>1.5309743913041877E-2</v>
      </c>
      <c r="E23" s="47">
        <f t="shared" ref="E23:E33" si="2">(G23*$B$22*I23)/$B$27</f>
        <v>972632.14602345752</v>
      </c>
      <c r="F23" s="46">
        <f t="shared" ref="F23:F33" si="3">$B$25/I23</f>
        <v>5.0000000000000002E-5</v>
      </c>
      <c r="G23" s="13">
        <f>$F$2/3600/H23</f>
        <v>7.6150690474591061</v>
      </c>
      <c r="H23" s="13">
        <f>PI()*(I23/2)^2</f>
        <v>3.1415926535897934E-2</v>
      </c>
      <c r="I23" s="13">
        <v>0.2</v>
      </c>
      <c r="J23" s="13">
        <f t="shared" si="0"/>
        <v>995.49548608815439</v>
      </c>
      <c r="K23" s="13">
        <f>J23*0.098</f>
        <v>97.558557636639136</v>
      </c>
      <c r="L23" s="22">
        <f>K23*100</f>
        <v>9755.8557636639143</v>
      </c>
      <c r="N23">
        <v>7</v>
      </c>
      <c r="O23">
        <v>43.89</v>
      </c>
    </row>
    <row r="24" spans="1:15" ht="15" customHeight="1" x14ac:dyDescent="0.25">
      <c r="A24" s="3" t="s">
        <v>45</v>
      </c>
      <c r="B24" s="1">
        <v>0.01</v>
      </c>
      <c r="C24" t="s">
        <v>40</v>
      </c>
      <c r="D24" s="46">
        <f t="shared" si="1"/>
        <v>1.4562382347884492E-2</v>
      </c>
      <c r="E24" s="47">
        <f t="shared" si="2"/>
        <v>778105.71681876609</v>
      </c>
      <c r="F24" s="46">
        <f>$B$25/I24</f>
        <v>4.0000000000000003E-5</v>
      </c>
      <c r="G24" s="13">
        <f>$F$2/3600/H24</f>
        <v>4.8736441903738283</v>
      </c>
      <c r="H24" s="13">
        <f>PI()*(I24/2)^2</f>
        <v>4.9087385212340517E-2</v>
      </c>
      <c r="I24" s="13">
        <v>0.25</v>
      </c>
      <c r="J24" s="13">
        <f t="shared" si="0"/>
        <v>310.27996475513748</v>
      </c>
      <c r="K24" s="13">
        <f>J24*0.098</f>
        <v>30.407436546003474</v>
      </c>
      <c r="L24" s="22">
        <f>K24*100</f>
        <v>3040.7436546003473</v>
      </c>
      <c r="N24">
        <v>8</v>
      </c>
      <c r="O24">
        <v>50.16</v>
      </c>
    </row>
    <row r="25" spans="1:15" x14ac:dyDescent="0.25">
      <c r="A25" s="3" t="s">
        <v>45</v>
      </c>
      <c r="B25">
        <f>B24/1000</f>
        <v>1.0000000000000001E-5</v>
      </c>
      <c r="C25" t="s">
        <v>15</v>
      </c>
      <c r="D25" s="46">
        <f t="shared" si="1"/>
        <v>1.4203884424453304E-2</v>
      </c>
      <c r="E25" s="47">
        <f t="shared" si="2"/>
        <v>648421.4306823049</v>
      </c>
      <c r="F25" s="46">
        <f t="shared" si="3"/>
        <v>3.3333333333333335E-5</v>
      </c>
      <c r="G25" s="13">
        <f t="shared" ref="G25:G33" si="4">$F$2/3600/H25</f>
        <v>3.3844751322040469</v>
      </c>
      <c r="H25" s="13">
        <f t="shared" ref="H25:H33" si="5">PI()*(I25/2)^2</f>
        <v>7.0685834705770348E-2</v>
      </c>
      <c r="I25" s="13">
        <v>0.3</v>
      </c>
      <c r="J25" s="13">
        <f t="shared" si="0"/>
        <v>121.62481799987263</v>
      </c>
      <c r="K25" s="13">
        <f>J25*0.098</f>
        <v>11.919232163987518</v>
      </c>
      <c r="L25" s="22">
        <f>K25*100</f>
        <v>1191.9232163987517</v>
      </c>
      <c r="N25">
        <v>9</v>
      </c>
      <c r="O25">
        <v>56.43</v>
      </c>
    </row>
    <row r="26" spans="1:15" x14ac:dyDescent="0.25">
      <c r="A26" s="3" t="s">
        <v>50</v>
      </c>
      <c r="B26" s="11">
        <f>B25/F3</f>
        <v>3.3333333333333335E-5</v>
      </c>
      <c r="C26" t="s">
        <v>15</v>
      </c>
      <c r="D26" s="46">
        <f t="shared" si="1"/>
        <v>1.4065878545113739E-2</v>
      </c>
      <c r="E26" s="47">
        <f t="shared" si="2"/>
        <v>555789.79772768996</v>
      </c>
      <c r="F26" s="46">
        <f t="shared" si="3"/>
        <v>2.8571428571428574E-5</v>
      </c>
      <c r="G26" s="13">
        <f t="shared" si="4"/>
        <v>2.4865531583539942</v>
      </c>
      <c r="H26" s="13">
        <f t="shared" si="5"/>
        <v>9.6211275016187398E-2</v>
      </c>
      <c r="I26" s="13">
        <v>0.35</v>
      </c>
      <c r="J26" s="13">
        <f t="shared" si="0"/>
        <v>55.724732001388197</v>
      </c>
      <c r="K26" s="13">
        <f t="shared" ref="K26:K33" si="6">J26*0.098</f>
        <v>5.4610237361360436</v>
      </c>
      <c r="L26" s="22">
        <f>K26*100</f>
        <v>546.10237361360441</v>
      </c>
      <c r="N26">
        <v>10</v>
      </c>
      <c r="O26">
        <v>62.7</v>
      </c>
    </row>
    <row r="27" spans="1:15" x14ac:dyDescent="0.25">
      <c r="A27" s="3" t="s">
        <v>48</v>
      </c>
      <c r="B27">
        <v>1.5690000000000001E-3</v>
      </c>
      <c r="C27" t="s">
        <v>49</v>
      </c>
      <c r="D27" s="46">
        <f t="shared" si="1"/>
        <v>1.4055376315597865E-2</v>
      </c>
      <c r="E27" s="47">
        <f t="shared" si="2"/>
        <v>486316.07301172876</v>
      </c>
      <c r="F27" s="46">
        <f>$B$25/I27</f>
        <v>2.5000000000000001E-5</v>
      </c>
      <c r="G27" s="13">
        <f t="shared" si="4"/>
        <v>1.9037672618647765</v>
      </c>
      <c r="H27" s="13">
        <f t="shared" si="5"/>
        <v>0.12566370614359174</v>
      </c>
      <c r="I27" s="13">
        <v>0.4</v>
      </c>
      <c r="J27" s="13">
        <f t="shared" si="0"/>
        <v>28.560372557751933</v>
      </c>
      <c r="K27" s="13">
        <f t="shared" si="6"/>
        <v>2.7989165106596894</v>
      </c>
      <c r="L27" s="22">
        <f t="shared" ref="L27:L33" si="7">K27*100</f>
        <v>279.89165106596892</v>
      </c>
      <c r="N27">
        <v>11</v>
      </c>
      <c r="O27">
        <v>68.97</v>
      </c>
    </row>
    <row r="28" spans="1:15" x14ac:dyDescent="0.25">
      <c r="A28" s="3" t="s">
        <v>44</v>
      </c>
      <c r="B28" s="10">
        <f>0.25/(LOG((B26/(3.7*F3)+(5.74/(B29^0.9)))))^2</f>
        <v>1.4203884424453304E-2</v>
      </c>
      <c r="D28" s="46">
        <f t="shared" si="1"/>
        <v>1.4119074116030462E-2</v>
      </c>
      <c r="E28" s="47">
        <f t="shared" si="2"/>
        <v>432280.95378820325</v>
      </c>
      <c r="F28" s="46">
        <f t="shared" si="3"/>
        <v>2.2222222222222223E-5</v>
      </c>
      <c r="G28" s="13">
        <f t="shared" si="4"/>
        <v>1.5042111698684653</v>
      </c>
      <c r="H28" s="13">
        <f t="shared" si="5"/>
        <v>0.15904312808798329</v>
      </c>
      <c r="I28" s="13">
        <v>0.45</v>
      </c>
      <c r="J28" s="13">
        <f t="shared" si="0"/>
        <v>15.920804017289221</v>
      </c>
      <c r="K28" s="13">
        <f t="shared" si="6"/>
        <v>1.5602387936943438</v>
      </c>
      <c r="L28" s="22">
        <f t="shared" si="7"/>
        <v>156.02387936943438</v>
      </c>
      <c r="N28">
        <v>12</v>
      </c>
      <c r="O28">
        <v>75.239999999999995</v>
      </c>
    </row>
    <row r="29" spans="1:15" x14ac:dyDescent="0.25">
      <c r="A29" t="s">
        <v>41</v>
      </c>
      <c r="B29" s="8">
        <f>(F7*B22*F3)/B27</f>
        <v>648421.4306823049</v>
      </c>
      <c r="D29" s="46">
        <f t="shared" si="1"/>
        <v>1.4225869006045267E-2</v>
      </c>
      <c r="E29" s="47">
        <f>(G29*$B$22*I29)/$B$27</f>
        <v>389052.85840938304</v>
      </c>
      <c r="F29" s="46">
        <f t="shared" si="3"/>
        <v>2.0000000000000002E-5</v>
      </c>
      <c r="G29" s="13">
        <f t="shared" si="4"/>
        <v>1.2184110475934571</v>
      </c>
      <c r="H29" s="13">
        <f t="shared" si="5"/>
        <v>0.19634954084936207</v>
      </c>
      <c r="I29" s="13">
        <v>0.5</v>
      </c>
      <c r="J29" s="13">
        <f t="shared" si="0"/>
        <v>9.4721841101435587</v>
      </c>
      <c r="K29" s="13">
        <f t="shared" si="6"/>
        <v>0.92827404279406878</v>
      </c>
      <c r="L29" s="22">
        <f t="shared" si="7"/>
        <v>92.827404279406878</v>
      </c>
    </row>
    <row r="30" spans="1:15" x14ac:dyDescent="0.25">
      <c r="A30" t="s">
        <v>46</v>
      </c>
      <c r="B30" s="9">
        <f>(B28*B21*F7^2)/(F3*2*B23)</f>
        <v>121.62481799987263</v>
      </c>
      <c r="C30" t="s">
        <v>15</v>
      </c>
      <c r="D30" s="46">
        <f t="shared" si="1"/>
        <v>1.4357352134350406E-2</v>
      </c>
      <c r="E30" s="47">
        <f t="shared" si="2"/>
        <v>353684.41673580266</v>
      </c>
      <c r="F30" s="46">
        <f t="shared" si="3"/>
        <v>1.8181818181818182E-5</v>
      </c>
      <c r="G30" s="13">
        <f t="shared" si="4"/>
        <v>1.0069512790028567</v>
      </c>
      <c r="H30" s="13">
        <f t="shared" si="5"/>
        <v>0.23758294442772815</v>
      </c>
      <c r="I30" s="13">
        <v>0.55000000000000004</v>
      </c>
      <c r="J30" s="13">
        <f t="shared" si="0"/>
        <v>5.9358408996854779</v>
      </c>
      <c r="K30" s="13">
        <f t="shared" si="6"/>
        <v>0.58171240816917691</v>
      </c>
      <c r="L30" s="22">
        <f t="shared" si="7"/>
        <v>58.171240816917688</v>
      </c>
    </row>
    <row r="31" spans="1:15" x14ac:dyDescent="0.25">
      <c r="A31" s="4" t="s">
        <v>52</v>
      </c>
      <c r="B31" s="4">
        <f>B30*0.098</f>
        <v>11.919232163987518</v>
      </c>
      <c r="C31" s="4" t="s">
        <v>66</v>
      </c>
      <c r="D31" s="46">
        <f t="shared" si="1"/>
        <v>1.4502476359309995E-2</v>
      </c>
      <c r="E31" s="47">
        <f t="shared" si="2"/>
        <v>324210.71534115245</v>
      </c>
      <c r="F31" s="46">
        <f t="shared" si="3"/>
        <v>1.6666666666666667E-5</v>
      </c>
      <c r="G31" s="13">
        <f t="shared" si="4"/>
        <v>0.84611878305101174</v>
      </c>
      <c r="H31" s="13">
        <f t="shared" si="5"/>
        <v>0.28274333882308139</v>
      </c>
      <c r="I31" s="13">
        <v>0.6</v>
      </c>
      <c r="J31" s="13">
        <f t="shared" si="0"/>
        <v>3.8806748981459149</v>
      </c>
      <c r="K31" s="13">
        <f t="shared" si="6"/>
        <v>0.38030614001829965</v>
      </c>
      <c r="L31" s="22">
        <f t="shared" si="7"/>
        <v>38.030614001829967</v>
      </c>
    </row>
    <row r="32" spans="1:15" x14ac:dyDescent="0.25">
      <c r="D32" s="46">
        <f t="shared" si="1"/>
        <v>1.4654528562680664E-2</v>
      </c>
      <c r="E32" s="47">
        <f t="shared" si="2"/>
        <v>299271.42954567925</v>
      </c>
      <c r="F32" s="46">
        <f t="shared" si="3"/>
        <v>1.5384615384615384E-5</v>
      </c>
      <c r="G32" s="13">
        <f t="shared" si="4"/>
        <v>0.72095328259967872</v>
      </c>
      <c r="H32" s="13">
        <f t="shared" si="5"/>
        <v>0.33183072403542191</v>
      </c>
      <c r="I32" s="13">
        <v>0.65</v>
      </c>
      <c r="J32" s="13">
        <f t="shared" si="0"/>
        <v>2.6280063826244526</v>
      </c>
      <c r="K32" s="13">
        <f t="shared" si="6"/>
        <v>0.25754462549719637</v>
      </c>
      <c r="L32" s="22">
        <f t="shared" si="7"/>
        <v>25.754462549719637</v>
      </c>
    </row>
    <row r="33" spans="1:12" x14ac:dyDescent="0.25">
      <c r="D33" s="46">
        <f t="shared" si="1"/>
        <v>1.480938997187746E-2</v>
      </c>
      <c r="E33" s="47">
        <f t="shared" si="2"/>
        <v>277894.89886384498</v>
      </c>
      <c r="F33" s="46">
        <f t="shared" si="3"/>
        <v>1.4285714285714287E-5</v>
      </c>
      <c r="G33" s="13">
        <f t="shared" si="4"/>
        <v>0.62163828958849854</v>
      </c>
      <c r="H33" s="13">
        <f t="shared" si="5"/>
        <v>0.38484510006474959</v>
      </c>
      <c r="I33" s="13">
        <v>0.7</v>
      </c>
      <c r="J33" s="13">
        <f t="shared" si="0"/>
        <v>1.8334468156398855</v>
      </c>
      <c r="K33" s="13">
        <f t="shared" si="6"/>
        <v>0.17967778793270878</v>
      </c>
      <c r="L33" s="22">
        <f t="shared" si="7"/>
        <v>17.967778793270877</v>
      </c>
    </row>
    <row r="35" spans="1:12" x14ac:dyDescent="0.25">
      <c r="E35" s="6"/>
      <c r="F35" s="6"/>
      <c r="G35" s="6"/>
      <c r="H35" s="6"/>
      <c r="J35" s="6"/>
    </row>
    <row r="36" spans="1:12" x14ac:dyDescent="0.25">
      <c r="A36" s="4" t="s">
        <v>62</v>
      </c>
    </row>
    <row r="37" spans="1:12" x14ac:dyDescent="0.25">
      <c r="A37" s="1">
        <v>10.1</v>
      </c>
      <c r="B37" t="s">
        <v>68</v>
      </c>
    </row>
    <row r="38" spans="1:12" x14ac:dyDescent="0.25">
      <c r="A38">
        <v>0.23</v>
      </c>
      <c r="B38" t="s">
        <v>68</v>
      </c>
    </row>
    <row r="39" spans="1:12" x14ac:dyDescent="0.25">
      <c r="A39" s="1">
        <v>100</v>
      </c>
      <c r="B39" t="s">
        <v>69</v>
      </c>
    </row>
    <row r="40" spans="1:12" x14ac:dyDescent="0.25">
      <c r="A40">
        <f>A37*A39</f>
        <v>1010</v>
      </c>
      <c r="B40" t="s">
        <v>68</v>
      </c>
    </row>
    <row r="41" spans="1:12" x14ac:dyDescent="0.25">
      <c r="A41">
        <f>A40*A38</f>
        <v>232.3</v>
      </c>
      <c r="B41" t="s">
        <v>70</v>
      </c>
    </row>
    <row r="44" spans="1:12" x14ac:dyDescent="0.25">
      <c r="A44" s="16" t="s">
        <v>73</v>
      </c>
      <c r="B44" s="16" t="s">
        <v>74</v>
      </c>
      <c r="C44" s="16" t="s">
        <v>72</v>
      </c>
    </row>
    <row r="45" spans="1:12" x14ac:dyDescent="0.25">
      <c r="A45" s="15">
        <v>0.25</v>
      </c>
      <c r="B45" s="15">
        <v>6500</v>
      </c>
      <c r="C45" s="15">
        <v>8970</v>
      </c>
    </row>
    <row r="46" spans="1:12" x14ac:dyDescent="0.25">
      <c r="A46" s="15">
        <v>0.5</v>
      </c>
      <c r="B46" s="15">
        <v>1000</v>
      </c>
      <c r="C46" s="15">
        <v>1495</v>
      </c>
    </row>
    <row r="47" spans="1:12" x14ac:dyDescent="0.25">
      <c r="A47" s="15">
        <v>1</v>
      </c>
      <c r="B47" s="15">
        <v>500</v>
      </c>
      <c r="C47" s="15">
        <v>920</v>
      </c>
    </row>
    <row r="48" spans="1:12" x14ac:dyDescent="0.25">
      <c r="A48" s="15">
        <v>1.5</v>
      </c>
      <c r="B48" s="15">
        <v>500</v>
      </c>
      <c r="C48" s="15">
        <v>1161</v>
      </c>
    </row>
    <row r="49" spans="1:3" x14ac:dyDescent="0.25">
      <c r="A49" s="16" t="s">
        <v>64</v>
      </c>
      <c r="B49" s="16">
        <f>SUM(B45:B48)</f>
        <v>8500</v>
      </c>
      <c r="C49" s="16">
        <f>SUM(C45:C48)</f>
        <v>12546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J1" workbookViewId="0">
      <selection activeCell="P31" sqref="P31"/>
    </sheetView>
  </sheetViews>
  <sheetFormatPr defaultRowHeight="15" x14ac:dyDescent="0.25"/>
  <cols>
    <col min="1" max="1" width="15.140625" bestFit="1" customWidth="1"/>
    <col min="7" max="7" width="10" bestFit="1" customWidth="1"/>
    <col min="14" max="14" width="11" bestFit="1" customWidth="1"/>
    <col min="15" max="15" width="22.7109375" bestFit="1" customWidth="1"/>
    <col min="16" max="16" width="13.85546875" bestFit="1" customWidth="1"/>
    <col min="17" max="17" width="13.42578125" bestFit="1" customWidth="1"/>
    <col min="18" max="19" width="24.5703125" bestFit="1" customWidth="1"/>
    <col min="20" max="20" width="13.42578125" bestFit="1" customWidth="1"/>
  </cols>
  <sheetData>
    <row r="1" spans="1:2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0" t="s">
        <v>187</v>
      </c>
    </row>
    <row r="3" spans="1:21" x14ac:dyDescent="0.25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188</v>
      </c>
      <c r="P3">
        <v>4.1349999999999998E-2</v>
      </c>
      <c r="Q3" s="24" t="s">
        <v>27</v>
      </c>
    </row>
    <row r="4" spans="1:21" x14ac:dyDescent="0.2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 t="s">
        <v>190</v>
      </c>
      <c r="P4">
        <v>10</v>
      </c>
      <c r="Q4" t="s">
        <v>189</v>
      </c>
    </row>
    <row r="5" spans="1:21" x14ac:dyDescent="0.2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191</v>
      </c>
      <c r="P5">
        <v>4</v>
      </c>
      <c r="Q5" t="s">
        <v>189</v>
      </c>
    </row>
    <row r="6" spans="1:21" x14ac:dyDescent="0.25">
      <c r="A6" t="s">
        <v>109</v>
      </c>
      <c r="B6" s="1">
        <v>734</v>
      </c>
      <c r="C6" s="6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192</v>
      </c>
      <c r="P6">
        <f>P3*(32/(8.3143*293))*(0.21*101325)</f>
        <v>11.557611400137571</v>
      </c>
      <c r="Q6" t="s">
        <v>189</v>
      </c>
    </row>
    <row r="7" spans="1:21" x14ac:dyDescent="0.25">
      <c r="A7" s="3" t="s">
        <v>105</v>
      </c>
      <c r="B7" s="1">
        <v>1.2</v>
      </c>
      <c r="C7" s="6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t="s">
        <v>170</v>
      </c>
      <c r="P7">
        <f>(P4-P5)/(P6-P5)</f>
        <v>0.79390162874619119</v>
      </c>
      <c r="Q7" t="s">
        <v>193</v>
      </c>
    </row>
    <row r="8" spans="1:21" x14ac:dyDescent="0.25">
      <c r="A8" t="s">
        <v>106</v>
      </c>
      <c r="B8" s="1">
        <v>2</v>
      </c>
      <c r="C8" s="6" t="s">
        <v>15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t="s">
        <v>164</v>
      </c>
      <c r="P8" s="2">
        <f>1-(1-$O$19)^$Q$19</f>
        <v>0.79004857613210344</v>
      </c>
      <c r="Q8" t="s">
        <v>193</v>
      </c>
    </row>
    <row r="9" spans="1:21" x14ac:dyDescent="0.25">
      <c r="A9" t="s">
        <v>107</v>
      </c>
      <c r="B9" s="1">
        <v>1.5</v>
      </c>
      <c r="C9" s="6" t="s">
        <v>15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1" x14ac:dyDescent="0.25">
      <c r="A10" t="s">
        <v>108</v>
      </c>
      <c r="B10" s="6">
        <f>0.5*(B8+B9)*B7</f>
        <v>2.1</v>
      </c>
      <c r="C10" s="6" t="s">
        <v>14</v>
      </c>
      <c r="D10" s="6"/>
      <c r="G10" s="6"/>
      <c r="H10" s="6"/>
      <c r="I10" s="6"/>
      <c r="J10" s="6"/>
      <c r="K10" s="6"/>
      <c r="L10" s="6"/>
      <c r="M10" s="6"/>
      <c r="N10" s="6"/>
      <c r="O10" t="s">
        <v>168</v>
      </c>
      <c r="P10">
        <v>0.2</v>
      </c>
      <c r="Q10">
        <v>0.4</v>
      </c>
      <c r="R10">
        <v>0.6</v>
      </c>
      <c r="S10">
        <v>0.8</v>
      </c>
      <c r="T10">
        <v>1</v>
      </c>
      <c r="U10">
        <v>1.2</v>
      </c>
    </row>
    <row r="11" spans="1:21" x14ac:dyDescent="0.25">
      <c r="A11" t="s">
        <v>163</v>
      </c>
      <c r="B11" s="1">
        <v>45</v>
      </c>
      <c r="C11" s="6" t="s">
        <v>11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t="s">
        <v>169</v>
      </c>
      <c r="P11">
        <v>14</v>
      </c>
      <c r="Q11">
        <v>25</v>
      </c>
      <c r="R11">
        <v>36</v>
      </c>
      <c r="S11">
        <v>46</v>
      </c>
      <c r="T11">
        <v>51</v>
      </c>
      <c r="U11">
        <v>55</v>
      </c>
    </row>
    <row r="12" spans="1:21" x14ac:dyDescent="0.2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21" x14ac:dyDescent="0.25">
      <c r="A13" t="s">
        <v>127</v>
      </c>
      <c r="B13" s="6">
        <f>B6*B10</f>
        <v>1541.4</v>
      </c>
      <c r="C13" s="6" t="s">
        <v>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0" t="s">
        <v>194</v>
      </c>
    </row>
    <row r="14" spans="1:21" x14ac:dyDescent="0.25">
      <c r="A14" t="s">
        <v>162</v>
      </c>
      <c r="B14" s="6">
        <f>B13/B11</f>
        <v>34.253333333333337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t="s">
        <v>172</v>
      </c>
      <c r="P14" t="s">
        <v>171</v>
      </c>
      <c r="Q14" t="s">
        <v>165</v>
      </c>
      <c r="R14" t="s">
        <v>167</v>
      </c>
      <c r="S14" t="s">
        <v>180</v>
      </c>
      <c r="T14" t="s">
        <v>166</v>
      </c>
    </row>
    <row r="15" spans="1:2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>
        <v>0.14000000000000001</v>
      </c>
      <c r="P15">
        <v>0.2</v>
      </c>
      <c r="Q15" s="2">
        <v>10.3466830132501</v>
      </c>
      <c r="R15" s="43">
        <v>11</v>
      </c>
      <c r="S15" s="7">
        <f>(2/3)*P15</f>
        <v>0.13333333333333333</v>
      </c>
      <c r="T15" s="8">
        <f>(R15*P15)</f>
        <v>2.2000000000000002</v>
      </c>
    </row>
    <row r="16" spans="1:2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>
        <v>0.25</v>
      </c>
      <c r="P16">
        <v>0.4</v>
      </c>
      <c r="Q16" s="2">
        <v>5.4223829963121171</v>
      </c>
      <c r="R16" s="43">
        <v>6</v>
      </c>
      <c r="S16" s="7">
        <f t="shared" ref="S16:S19" si="0">(2/3)*P16</f>
        <v>0.26666666666666666</v>
      </c>
      <c r="T16" s="8">
        <f>(R16*P16)</f>
        <v>2.4000000000000004</v>
      </c>
    </row>
    <row r="17" spans="2:20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>
        <v>0.36</v>
      </c>
      <c r="P17">
        <v>0.6</v>
      </c>
      <c r="Q17" s="2">
        <v>3.4953564534017145</v>
      </c>
      <c r="R17" s="43">
        <v>4</v>
      </c>
      <c r="S17" s="7">
        <f t="shared" si="0"/>
        <v>0.39999999999999997</v>
      </c>
      <c r="T17" s="8">
        <f t="shared" ref="T17:T20" si="1">(R17*P17)</f>
        <v>2.4</v>
      </c>
    </row>
    <row r="18" spans="2:20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>
        <v>0.46</v>
      </c>
      <c r="P18">
        <v>0.8</v>
      </c>
      <c r="Q18" s="2">
        <v>2.5315696261992771</v>
      </c>
      <c r="R18" s="43">
        <v>3</v>
      </c>
      <c r="S18" s="7">
        <f t="shared" si="0"/>
        <v>0.53333333333333333</v>
      </c>
      <c r="T18" s="8">
        <f t="shared" si="1"/>
        <v>2.4000000000000004</v>
      </c>
    </row>
    <row r="19" spans="2:20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>
        <v>0.51</v>
      </c>
      <c r="P19">
        <v>1</v>
      </c>
      <c r="Q19" s="2">
        <v>2.188097477075635</v>
      </c>
      <c r="R19" s="43">
        <v>3</v>
      </c>
      <c r="S19" s="7">
        <f t="shared" si="0"/>
        <v>0.66666666666666663</v>
      </c>
      <c r="T19" s="8">
        <f>(R19*P19)</f>
        <v>3</v>
      </c>
    </row>
    <row r="20" spans="2:20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>
        <v>0.55000000000000004</v>
      </c>
      <c r="P20">
        <v>1.2</v>
      </c>
      <c r="Q20" s="2">
        <v>1.9536073945026311</v>
      </c>
      <c r="R20" s="43">
        <v>2</v>
      </c>
      <c r="S20" s="7">
        <f>(2/3)*P20</f>
        <v>0.79999999999999993</v>
      </c>
      <c r="T20" s="8">
        <f t="shared" si="1"/>
        <v>2.4</v>
      </c>
    </row>
    <row r="21" spans="2:20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I32" sqref="I32"/>
    </sheetView>
  </sheetViews>
  <sheetFormatPr defaultRowHeight="15" x14ac:dyDescent="0.25"/>
  <cols>
    <col min="1" max="1" width="16.5703125" bestFit="1" customWidth="1"/>
    <col min="5" max="5" width="16.5703125" bestFit="1" customWidth="1"/>
    <col min="6" max="6" width="7.7109375" customWidth="1"/>
    <col min="12" max="12" width="17.42578125" bestFit="1" customWidth="1"/>
    <col min="14" max="14" width="10.7109375" bestFit="1" customWidth="1"/>
    <col min="18" max="18" width="14.7109375" bestFit="1" customWidth="1"/>
  </cols>
  <sheetData>
    <row r="1" spans="1:21" x14ac:dyDescent="0.25">
      <c r="A1" s="4" t="s">
        <v>80</v>
      </c>
      <c r="E1" s="4" t="s">
        <v>81</v>
      </c>
    </row>
    <row r="2" spans="1:21" x14ac:dyDescent="0.25">
      <c r="A2" t="s">
        <v>53</v>
      </c>
      <c r="B2">
        <v>85</v>
      </c>
      <c r="C2" s="3" t="s">
        <v>54</v>
      </c>
      <c r="E2" t="s">
        <v>53</v>
      </c>
      <c r="F2">
        <v>110</v>
      </c>
      <c r="G2" s="3" t="s">
        <v>54</v>
      </c>
      <c r="R2" s="4" t="s">
        <v>196</v>
      </c>
    </row>
    <row r="3" spans="1:21" x14ac:dyDescent="0.25">
      <c r="E3" t="s">
        <v>55</v>
      </c>
      <c r="F3">
        <v>35</v>
      </c>
      <c r="G3" s="3" t="s">
        <v>54</v>
      </c>
      <c r="M3" s="4" t="s">
        <v>195</v>
      </c>
      <c r="S3" t="s">
        <v>87</v>
      </c>
    </row>
    <row r="4" spans="1:21" x14ac:dyDescent="0.25">
      <c r="A4" t="s">
        <v>56</v>
      </c>
      <c r="B4">
        <v>155</v>
      </c>
      <c r="C4" s="3" t="s">
        <v>54</v>
      </c>
      <c r="E4" t="s">
        <v>56</v>
      </c>
      <c r="M4" t="s">
        <v>83</v>
      </c>
      <c r="N4" t="s">
        <v>82</v>
      </c>
      <c r="O4" t="s">
        <v>84</v>
      </c>
      <c r="S4" t="s">
        <v>102</v>
      </c>
      <c r="T4" t="s">
        <v>104</v>
      </c>
    </row>
    <row r="5" spans="1:21" x14ac:dyDescent="0.25">
      <c r="A5" t="s">
        <v>57</v>
      </c>
      <c r="B5">
        <v>67</v>
      </c>
      <c r="C5" s="3" t="s">
        <v>58</v>
      </c>
      <c r="E5" t="s">
        <v>57</v>
      </c>
      <c r="M5">
        <v>16</v>
      </c>
      <c r="N5">
        <v>40</v>
      </c>
      <c r="O5">
        <v>18</v>
      </c>
      <c r="R5" t="s">
        <v>96</v>
      </c>
      <c r="S5">
        <f>210*110</f>
        <v>23100</v>
      </c>
      <c r="T5">
        <f>210*110</f>
        <v>23100</v>
      </c>
    </row>
    <row r="6" spans="1:21" x14ac:dyDescent="0.25">
      <c r="A6" t="s">
        <v>59</v>
      </c>
      <c r="B6">
        <v>3500</v>
      </c>
      <c r="C6" s="3" t="s">
        <v>60</v>
      </c>
      <c r="E6" t="s">
        <v>59</v>
      </c>
      <c r="M6">
        <v>22</v>
      </c>
      <c r="N6">
        <v>27</v>
      </c>
      <c r="O6">
        <v>20</v>
      </c>
      <c r="R6" t="s">
        <v>97</v>
      </c>
      <c r="S6">
        <f>135*85</f>
        <v>11475</v>
      </c>
      <c r="T6">
        <f>185*40</f>
        <v>7400</v>
      </c>
    </row>
    <row r="7" spans="1:21" x14ac:dyDescent="0.25">
      <c r="M7">
        <v>10</v>
      </c>
      <c r="N7">
        <v>16</v>
      </c>
      <c r="O7">
        <v>27</v>
      </c>
      <c r="R7" s="4" t="s">
        <v>98</v>
      </c>
      <c r="S7" s="4">
        <f>SUM(S5:S6)</f>
        <v>34575</v>
      </c>
      <c r="T7" s="4">
        <f>T5+T6</f>
        <v>30500</v>
      </c>
      <c r="U7" s="21">
        <f>S7+T7</f>
        <v>65075</v>
      </c>
    </row>
    <row r="8" spans="1:21" x14ac:dyDescent="0.25">
      <c r="A8" t="s">
        <v>53</v>
      </c>
      <c r="B8">
        <v>370</v>
      </c>
      <c r="C8" t="s">
        <v>15</v>
      </c>
      <c r="E8" t="s">
        <v>53</v>
      </c>
      <c r="F8">
        <v>420</v>
      </c>
      <c r="G8" t="s">
        <v>15</v>
      </c>
      <c r="M8">
        <v>10</v>
      </c>
      <c r="N8">
        <v>20</v>
      </c>
      <c r="O8">
        <v>14</v>
      </c>
      <c r="R8" t="s">
        <v>99</v>
      </c>
      <c r="S8">
        <f>370*B2</f>
        <v>31450</v>
      </c>
      <c r="T8">
        <f>370*40</f>
        <v>14800</v>
      </c>
    </row>
    <row r="9" spans="1:21" x14ac:dyDescent="0.25">
      <c r="A9" t="s">
        <v>56</v>
      </c>
      <c r="B9">
        <v>240</v>
      </c>
      <c r="C9" t="s">
        <v>15</v>
      </c>
      <c r="E9" t="s">
        <v>56</v>
      </c>
      <c r="M9">
        <v>10</v>
      </c>
      <c r="N9">
        <v>18</v>
      </c>
      <c r="O9">
        <v>10</v>
      </c>
      <c r="R9" s="4" t="s">
        <v>98</v>
      </c>
      <c r="S9" s="4">
        <f>S8+S7</f>
        <v>66025</v>
      </c>
      <c r="T9" s="4">
        <f>T8+T7</f>
        <v>45300</v>
      </c>
      <c r="U9" s="21">
        <f>S9+T9</f>
        <v>111325</v>
      </c>
    </row>
    <row r="10" spans="1:21" x14ac:dyDescent="0.25">
      <c r="A10" t="s">
        <v>57</v>
      </c>
      <c r="B10">
        <v>38</v>
      </c>
      <c r="C10" t="s">
        <v>61</v>
      </c>
      <c r="E10" t="s">
        <v>57</v>
      </c>
      <c r="M10">
        <v>15</v>
      </c>
      <c r="N10">
        <v>18</v>
      </c>
      <c r="O10">
        <v>7</v>
      </c>
    </row>
    <row r="11" spans="1:21" x14ac:dyDescent="0.25">
      <c r="M11">
        <v>15</v>
      </c>
      <c r="N11">
        <f>SUM(N5:N10)</f>
        <v>139</v>
      </c>
      <c r="O11">
        <v>10</v>
      </c>
      <c r="S11" t="s">
        <v>88</v>
      </c>
    </row>
    <row r="12" spans="1:21" x14ac:dyDescent="0.25">
      <c r="A12" t="s">
        <v>62</v>
      </c>
      <c r="E12" t="s">
        <v>62</v>
      </c>
      <c r="M12">
        <v>10</v>
      </c>
      <c r="O12">
        <v>10</v>
      </c>
      <c r="S12" t="s">
        <v>103</v>
      </c>
      <c r="T12" t="s">
        <v>104</v>
      </c>
    </row>
    <row r="13" spans="1:21" x14ac:dyDescent="0.25">
      <c r="A13" t="s">
        <v>53</v>
      </c>
      <c r="B13">
        <f>B8*B2</f>
        <v>31450</v>
      </c>
      <c r="C13" s="3" t="s">
        <v>60</v>
      </c>
      <c r="E13" t="s">
        <v>53</v>
      </c>
      <c r="F13">
        <f>F8*F2</f>
        <v>46200</v>
      </c>
      <c r="G13" s="3" t="s">
        <v>60</v>
      </c>
      <c r="M13">
        <v>20</v>
      </c>
      <c r="O13">
        <v>10</v>
      </c>
      <c r="R13" t="s">
        <v>100</v>
      </c>
      <c r="S13" s="4">
        <f>420*F2</f>
        <v>46200</v>
      </c>
      <c r="T13" s="4">
        <f>420*110</f>
        <v>46200</v>
      </c>
      <c r="U13" s="21">
        <f>S13+T13</f>
        <v>92400</v>
      </c>
    </row>
    <row r="14" spans="1:21" x14ac:dyDescent="0.25">
      <c r="A14" t="s">
        <v>55</v>
      </c>
      <c r="B14">
        <f>B8*F3</f>
        <v>12950</v>
      </c>
      <c r="C14" s="3" t="s">
        <v>60</v>
      </c>
      <c r="E14" t="s">
        <v>55</v>
      </c>
      <c r="M14">
        <v>12</v>
      </c>
      <c r="O14">
        <v>10</v>
      </c>
      <c r="T14" s="4">
        <f>250*110</f>
        <v>27500</v>
      </c>
    </row>
    <row r="15" spans="1:21" x14ac:dyDescent="0.25">
      <c r="A15" t="s">
        <v>56</v>
      </c>
      <c r="B15">
        <f>B9*B4</f>
        <v>37200</v>
      </c>
      <c r="C15" s="3" t="s">
        <v>60</v>
      </c>
      <c r="E15" t="s">
        <v>56</v>
      </c>
      <c r="M15">
        <v>15</v>
      </c>
      <c r="O15">
        <v>10</v>
      </c>
    </row>
    <row r="16" spans="1:21" x14ac:dyDescent="0.25">
      <c r="A16" t="s">
        <v>57</v>
      </c>
      <c r="B16">
        <f>B10*B5</f>
        <v>2546</v>
      </c>
      <c r="C16" s="3" t="s">
        <v>60</v>
      </c>
      <c r="E16" t="s">
        <v>57</v>
      </c>
      <c r="M16">
        <v>25</v>
      </c>
      <c r="O16">
        <v>10</v>
      </c>
      <c r="S16" t="s">
        <v>89</v>
      </c>
    </row>
    <row r="17" spans="1:21" x14ac:dyDescent="0.25">
      <c r="A17" t="s">
        <v>63</v>
      </c>
      <c r="B17">
        <f>B6</f>
        <v>3500</v>
      </c>
      <c r="C17" s="3" t="s">
        <v>60</v>
      </c>
      <c r="E17" t="s">
        <v>63</v>
      </c>
      <c r="M17">
        <v>10</v>
      </c>
      <c r="O17">
        <v>60</v>
      </c>
      <c r="S17" t="s">
        <v>103</v>
      </c>
      <c r="T17" t="s">
        <v>104</v>
      </c>
    </row>
    <row r="18" spans="1:21" x14ac:dyDescent="0.25">
      <c r="A18" s="4" t="s">
        <v>64</v>
      </c>
      <c r="B18" s="4">
        <f>SUM(B13:B17)</f>
        <v>87646</v>
      </c>
      <c r="C18" s="12" t="s">
        <v>60</v>
      </c>
      <c r="E18" s="4" t="s">
        <v>64</v>
      </c>
      <c r="M18">
        <f>SUM(M5:M17)</f>
        <v>190</v>
      </c>
      <c r="O18">
        <f>SUM(O5:O17)</f>
        <v>216</v>
      </c>
      <c r="R18" t="s">
        <v>101</v>
      </c>
      <c r="S18">
        <f>370*3*85</f>
        <v>94350</v>
      </c>
      <c r="T18">
        <f>370*3*40</f>
        <v>44400</v>
      </c>
      <c r="U18" s="21">
        <f>S18+T18</f>
        <v>138750</v>
      </c>
    </row>
    <row r="19" spans="1:21" x14ac:dyDescent="0.25">
      <c r="A19" t="str">
        <f>"-gyroscoop"</f>
        <v>-gyroscoop</v>
      </c>
      <c r="B19">
        <f>B18-B14</f>
        <v>74696</v>
      </c>
      <c r="E19" t="str">
        <f>"-gyroscoop"</f>
        <v>-gyroscoop</v>
      </c>
      <c r="M19">
        <f>M18*2</f>
        <v>380</v>
      </c>
      <c r="N19">
        <f>N11*2</f>
        <v>278</v>
      </c>
      <c r="O19">
        <f>O18*2</f>
        <v>432</v>
      </c>
      <c r="T19">
        <f>250*6*40</f>
        <v>60000</v>
      </c>
    </row>
    <row r="21" spans="1:21" x14ac:dyDescent="0.25">
      <c r="L21" s="4" t="s">
        <v>197</v>
      </c>
      <c r="M21">
        <f>M19*B4</f>
        <v>58900</v>
      </c>
      <c r="N21">
        <f>N19*B4</f>
        <v>43090</v>
      </c>
      <c r="O21">
        <f>O19*B4</f>
        <v>66960</v>
      </c>
    </row>
    <row r="23" spans="1:21" x14ac:dyDescent="0.25">
      <c r="A23" s="4" t="s">
        <v>198</v>
      </c>
    </row>
    <row r="24" spans="1:21" x14ac:dyDescent="0.25">
      <c r="A24" t="s">
        <v>85</v>
      </c>
      <c r="B24">
        <v>40</v>
      </c>
      <c r="C24" t="s">
        <v>86</v>
      </c>
    </row>
    <row r="25" spans="1:21" x14ac:dyDescent="0.25">
      <c r="A25" t="s">
        <v>87</v>
      </c>
      <c r="B25">
        <f>2000*2*B24</f>
        <v>160000</v>
      </c>
      <c r="C25">
        <f>0.15*B25</f>
        <v>24000</v>
      </c>
      <c r="D25">
        <f>135000/2</f>
        <v>67500</v>
      </c>
    </row>
    <row r="26" spans="1:21" x14ac:dyDescent="0.25">
      <c r="A26" t="s">
        <v>88</v>
      </c>
      <c r="B26">
        <f>1800*2*B24</f>
        <v>144000</v>
      </c>
    </row>
    <row r="27" spans="1:21" x14ac:dyDescent="0.25">
      <c r="A27" t="s">
        <v>89</v>
      </c>
      <c r="B27">
        <f>2000*2*B24</f>
        <v>160000</v>
      </c>
    </row>
    <row r="29" spans="1:21" x14ac:dyDescent="0.25">
      <c r="A29" t="s">
        <v>90</v>
      </c>
    </row>
    <row r="30" spans="1:21" x14ac:dyDescent="0.25">
      <c r="A30" s="20" t="s">
        <v>91</v>
      </c>
      <c r="B30">
        <f>B25-B26</f>
        <v>16000</v>
      </c>
    </row>
    <row r="31" spans="1:21" x14ac:dyDescent="0.25">
      <c r="A31" t="s">
        <v>92</v>
      </c>
      <c r="B31">
        <f>B25-B27</f>
        <v>0</v>
      </c>
    </row>
    <row r="33" spans="1:16" x14ac:dyDescent="0.25">
      <c r="A33" t="s">
        <v>93</v>
      </c>
      <c r="B33">
        <f>B25+N21</f>
        <v>203090</v>
      </c>
    </row>
    <row r="34" spans="1:16" x14ac:dyDescent="0.25">
      <c r="A34" t="s">
        <v>94</v>
      </c>
      <c r="B34">
        <f>B26+O21</f>
        <v>210960</v>
      </c>
    </row>
    <row r="35" spans="1:16" x14ac:dyDescent="0.25">
      <c r="A35" t="s">
        <v>95</v>
      </c>
      <c r="B35">
        <f>B27+M21</f>
        <v>218900</v>
      </c>
    </row>
    <row r="36" spans="1:16" x14ac:dyDescent="0.25">
      <c r="N36" s="24"/>
    </row>
    <row r="37" spans="1:16" x14ac:dyDescent="0.25">
      <c r="N37" s="6"/>
    </row>
    <row r="38" spans="1:16" x14ac:dyDescent="0.25">
      <c r="N38" s="30"/>
      <c r="O38" s="4"/>
      <c r="P38" s="4"/>
    </row>
    <row r="39" spans="1:16" x14ac:dyDescent="0.25">
      <c r="G39" t="s">
        <v>15</v>
      </c>
      <c r="H39" t="s">
        <v>125</v>
      </c>
      <c r="I39" t="s">
        <v>72</v>
      </c>
      <c r="N39" s="6"/>
    </row>
    <row r="40" spans="1:16" x14ac:dyDescent="0.25">
      <c r="C40" t="s">
        <v>121</v>
      </c>
      <c r="D40">
        <v>546</v>
      </c>
      <c r="E40" t="s">
        <v>15</v>
      </c>
      <c r="F40" s="23" t="s">
        <v>123</v>
      </c>
      <c r="G40">
        <f>D41-D40</f>
        <v>169</v>
      </c>
      <c r="H40">
        <f>G40*2</f>
        <v>338</v>
      </c>
      <c r="I40">
        <f>H40*40</f>
        <v>13520</v>
      </c>
    </row>
    <row r="41" spans="1:16" x14ac:dyDescent="0.25">
      <c r="C41" t="s">
        <v>120</v>
      </c>
      <c r="D41">
        <v>715</v>
      </c>
      <c r="E41" t="s">
        <v>15</v>
      </c>
      <c r="F41" s="24" t="s">
        <v>124</v>
      </c>
      <c r="G41">
        <f>D41-D42</f>
        <v>123</v>
      </c>
      <c r="H41">
        <f>G41*2</f>
        <v>246</v>
      </c>
      <c r="I41">
        <f>H41*40</f>
        <v>9840</v>
      </c>
    </row>
    <row r="42" spans="1:16" x14ac:dyDescent="0.25">
      <c r="C42" t="s">
        <v>122</v>
      </c>
      <c r="D42">
        <v>592</v>
      </c>
      <c r="E42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28" sqref="G28"/>
    </sheetView>
  </sheetViews>
  <sheetFormatPr defaultRowHeight="15" x14ac:dyDescent="0.25"/>
  <cols>
    <col min="1" max="1" width="16.5703125" bestFit="1" customWidth="1"/>
    <col min="5" max="5" width="23.85546875" bestFit="1" customWidth="1"/>
    <col min="9" max="9" width="20.140625" bestFit="1" customWidth="1"/>
  </cols>
  <sheetData>
    <row r="1" spans="1:11" ht="15.75" x14ac:dyDescent="0.25">
      <c r="A1" s="25" t="s">
        <v>128</v>
      </c>
      <c r="E1" s="25" t="s">
        <v>129</v>
      </c>
      <c r="F1" s="26"/>
      <c r="I1" s="25" t="s">
        <v>133</v>
      </c>
    </row>
    <row r="2" spans="1:11" x14ac:dyDescent="0.25">
      <c r="A2" s="4" t="s">
        <v>80</v>
      </c>
      <c r="E2" s="4" t="s">
        <v>80</v>
      </c>
      <c r="I2" s="4" t="s">
        <v>80</v>
      </c>
    </row>
    <row r="3" spans="1:11" x14ac:dyDescent="0.25">
      <c r="A3" t="s">
        <v>53</v>
      </c>
      <c r="B3">
        <v>370</v>
      </c>
      <c r="C3" t="s">
        <v>15</v>
      </c>
      <c r="E3" t="s">
        <v>53</v>
      </c>
      <c r="F3">
        <v>370</v>
      </c>
      <c r="G3" t="s">
        <v>15</v>
      </c>
      <c r="I3" t="s">
        <v>53</v>
      </c>
      <c r="J3">
        <v>370</v>
      </c>
      <c r="K3" t="s">
        <v>15</v>
      </c>
    </row>
    <row r="4" spans="1:11" x14ac:dyDescent="0.25">
      <c r="A4" t="s">
        <v>56</v>
      </c>
      <c r="B4">
        <v>240</v>
      </c>
      <c r="C4" t="s">
        <v>15</v>
      </c>
      <c r="E4" t="s">
        <v>56</v>
      </c>
      <c r="F4">
        <v>240</v>
      </c>
      <c r="G4" t="s">
        <v>15</v>
      </c>
      <c r="I4" t="s">
        <v>56</v>
      </c>
      <c r="J4">
        <v>240</v>
      </c>
      <c r="K4" t="s">
        <v>15</v>
      </c>
    </row>
    <row r="5" spans="1:11" x14ac:dyDescent="0.25">
      <c r="A5" t="s">
        <v>57</v>
      </c>
      <c r="B5">
        <v>38</v>
      </c>
      <c r="C5" t="s">
        <v>61</v>
      </c>
      <c r="E5" t="s">
        <v>57</v>
      </c>
      <c r="F5">
        <v>10</v>
      </c>
      <c r="G5" t="s">
        <v>61</v>
      </c>
      <c r="I5" t="s">
        <v>57</v>
      </c>
      <c r="J5">
        <v>38</v>
      </c>
      <c r="K5" t="s">
        <v>61</v>
      </c>
    </row>
    <row r="7" spans="1:11" x14ac:dyDescent="0.25">
      <c r="A7" s="4" t="s">
        <v>53</v>
      </c>
      <c r="B7">
        <v>85</v>
      </c>
      <c r="C7" s="3" t="s">
        <v>54</v>
      </c>
      <c r="E7" s="4" t="s">
        <v>53</v>
      </c>
      <c r="F7">
        <v>82.5</v>
      </c>
      <c r="G7" s="3" t="s">
        <v>54</v>
      </c>
      <c r="I7" s="4" t="s">
        <v>53</v>
      </c>
      <c r="J7">
        <v>98.6</v>
      </c>
      <c r="K7" s="3" t="s">
        <v>54</v>
      </c>
    </row>
    <row r="8" spans="1:11" x14ac:dyDescent="0.25">
      <c r="A8" t="s">
        <v>55</v>
      </c>
      <c r="B8">
        <v>35</v>
      </c>
      <c r="C8" s="3" t="s">
        <v>54</v>
      </c>
      <c r="E8" t="s">
        <v>55</v>
      </c>
      <c r="F8">
        <v>11.5</v>
      </c>
      <c r="G8" s="3" t="s">
        <v>54</v>
      </c>
      <c r="I8" t="s">
        <v>55</v>
      </c>
      <c r="K8" s="3" t="s">
        <v>54</v>
      </c>
    </row>
    <row r="9" spans="1:11" x14ac:dyDescent="0.25">
      <c r="A9" t="s">
        <v>57</v>
      </c>
      <c r="B9">
        <v>67</v>
      </c>
      <c r="C9" s="3" t="s">
        <v>58</v>
      </c>
      <c r="E9" t="s">
        <v>57</v>
      </c>
      <c r="F9">
        <v>96</v>
      </c>
      <c r="G9" s="3" t="s">
        <v>58</v>
      </c>
      <c r="I9" t="s">
        <v>57</v>
      </c>
      <c r="J9">
        <v>115</v>
      </c>
      <c r="K9" s="3" t="s">
        <v>58</v>
      </c>
    </row>
    <row r="10" spans="1:11" x14ac:dyDescent="0.25">
      <c r="A10" s="4" t="s">
        <v>56</v>
      </c>
      <c r="B10">
        <v>155</v>
      </c>
      <c r="C10" s="3" t="s">
        <v>54</v>
      </c>
      <c r="E10" s="4" t="s">
        <v>56</v>
      </c>
      <c r="G10" s="3" t="s">
        <v>54</v>
      </c>
      <c r="I10" s="4" t="s">
        <v>56</v>
      </c>
      <c r="J10">
        <v>236.5</v>
      </c>
      <c r="K10" s="3" t="s">
        <v>54</v>
      </c>
    </row>
    <row r="11" spans="1:11" x14ac:dyDescent="0.25">
      <c r="C11" s="3"/>
      <c r="G11" s="3"/>
      <c r="K11" s="3"/>
    </row>
    <row r="12" spans="1:11" x14ac:dyDescent="0.25">
      <c r="A12" s="4" t="s">
        <v>62</v>
      </c>
      <c r="E12" s="4" t="s">
        <v>62</v>
      </c>
      <c r="I12" s="4" t="s">
        <v>62</v>
      </c>
    </row>
    <row r="13" spans="1:11" x14ac:dyDescent="0.25">
      <c r="A13" t="s">
        <v>53</v>
      </c>
      <c r="B13">
        <f>B3*B7+B14</f>
        <v>44400</v>
      </c>
      <c r="C13" s="3" t="s">
        <v>60</v>
      </c>
      <c r="E13" t="s">
        <v>53</v>
      </c>
      <c r="F13">
        <f>F3*F7</f>
        <v>30525</v>
      </c>
      <c r="G13" s="3" t="s">
        <v>60</v>
      </c>
      <c r="I13" t="s">
        <v>134</v>
      </c>
      <c r="J13">
        <f>J3*J7</f>
        <v>36482</v>
      </c>
      <c r="K13" s="3" t="s">
        <v>60</v>
      </c>
    </row>
    <row r="14" spans="1:11" x14ac:dyDescent="0.25">
      <c r="A14" t="s">
        <v>55</v>
      </c>
      <c r="B14">
        <f>B3*B8</f>
        <v>12950</v>
      </c>
      <c r="C14" s="3" t="s">
        <v>60</v>
      </c>
      <c r="E14" t="s">
        <v>55</v>
      </c>
      <c r="F14">
        <f>F3*F8</f>
        <v>4255</v>
      </c>
      <c r="G14" s="3" t="s">
        <v>60</v>
      </c>
      <c r="I14" t="s">
        <v>55</v>
      </c>
      <c r="J14">
        <f>J3*J8</f>
        <v>0</v>
      </c>
      <c r="K14" s="3" t="s">
        <v>60</v>
      </c>
    </row>
    <row r="15" spans="1:11" x14ac:dyDescent="0.25">
      <c r="A15" t="s">
        <v>56</v>
      </c>
      <c r="B15">
        <f>B4*B10</f>
        <v>37200</v>
      </c>
      <c r="C15" s="3" t="s">
        <v>60</v>
      </c>
      <c r="E15" t="s">
        <v>130</v>
      </c>
      <c r="F15">
        <v>21230</v>
      </c>
      <c r="G15" s="3" t="s">
        <v>60</v>
      </c>
      <c r="I15" t="s">
        <v>56</v>
      </c>
      <c r="J15">
        <f>J4*J10</f>
        <v>56760</v>
      </c>
      <c r="K15" s="3" t="s">
        <v>60</v>
      </c>
    </row>
    <row r="16" spans="1:11" x14ac:dyDescent="0.25">
      <c r="A16" t="s">
        <v>57</v>
      </c>
      <c r="B16">
        <f>B5*B9</f>
        <v>2546</v>
      </c>
      <c r="C16" s="3" t="s">
        <v>60</v>
      </c>
      <c r="E16" t="s">
        <v>57</v>
      </c>
      <c r="F16">
        <f>F5*F9</f>
        <v>960</v>
      </c>
      <c r="G16" s="3" t="s">
        <v>60</v>
      </c>
      <c r="I16" t="s">
        <v>57</v>
      </c>
      <c r="J16">
        <f>J5*J9</f>
        <v>4370</v>
      </c>
      <c r="K16" s="3" t="s">
        <v>60</v>
      </c>
    </row>
    <row r="17" spans="1:11" x14ac:dyDescent="0.25">
      <c r="A17" t="s">
        <v>63</v>
      </c>
      <c r="B17">
        <v>3500</v>
      </c>
      <c r="C17" s="3" t="s">
        <v>60</v>
      </c>
      <c r="E17" t="s">
        <v>63</v>
      </c>
      <c r="F17">
        <v>1575</v>
      </c>
      <c r="G17" s="3" t="s">
        <v>60</v>
      </c>
      <c r="I17" t="s">
        <v>63</v>
      </c>
      <c r="J17">
        <v>5500</v>
      </c>
      <c r="K17" s="3" t="s">
        <v>60</v>
      </c>
    </row>
    <row r="18" spans="1:11" x14ac:dyDescent="0.25">
      <c r="A18" s="4" t="s">
        <v>64</v>
      </c>
      <c r="B18" s="4">
        <f>SUM(B13:B17)-B14</f>
        <v>87646</v>
      </c>
      <c r="C18" s="12" t="s">
        <v>60</v>
      </c>
      <c r="E18" s="4" t="s">
        <v>131</v>
      </c>
      <c r="F18" s="4">
        <f>SUM(F13:F17)</f>
        <v>58545</v>
      </c>
      <c r="G18" s="12" t="s">
        <v>60</v>
      </c>
      <c r="I18" s="4" t="s">
        <v>64</v>
      </c>
      <c r="J18" s="4">
        <f>SUM(J13:J17)</f>
        <v>103112</v>
      </c>
      <c r="K18" s="12" t="s">
        <v>60</v>
      </c>
    </row>
    <row r="20" spans="1:11" x14ac:dyDescent="0.25">
      <c r="E20" t="s">
        <v>132</v>
      </c>
      <c r="I20" t="s">
        <v>135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E31"/>
  <sheetViews>
    <sheetView topLeftCell="O1" workbookViewId="0">
      <selection activeCell="Z37" sqref="Z37"/>
    </sheetView>
  </sheetViews>
  <sheetFormatPr defaultRowHeight="15" x14ac:dyDescent="0.25"/>
  <cols>
    <col min="12" max="12" width="10.5703125" bestFit="1" customWidth="1"/>
    <col min="15" max="15" width="12" bestFit="1" customWidth="1"/>
    <col min="23" max="23" width="16.85546875" bestFit="1" customWidth="1"/>
    <col min="24" max="24" width="13.7109375" bestFit="1" customWidth="1"/>
    <col min="25" max="25" width="11.28515625" bestFit="1" customWidth="1"/>
    <col min="29" max="29" width="12.85546875" bestFit="1" customWidth="1"/>
  </cols>
  <sheetData>
    <row r="6" spans="3:29" x14ac:dyDescent="0.25">
      <c r="C6" s="6"/>
      <c r="D6" s="6"/>
      <c r="E6" s="6"/>
      <c r="F6" s="6"/>
      <c r="G6" s="6"/>
      <c r="H6" s="6"/>
      <c r="I6" s="6"/>
      <c r="J6" s="6"/>
    </row>
    <row r="7" spans="3:29" x14ac:dyDescent="0.25">
      <c r="C7" s="6"/>
      <c r="D7" s="6"/>
      <c r="E7" s="6"/>
      <c r="F7" s="6"/>
      <c r="G7" s="6"/>
      <c r="H7" s="6"/>
      <c r="I7" s="6"/>
      <c r="J7" s="6"/>
    </row>
    <row r="8" spans="3:29" x14ac:dyDescent="0.25">
      <c r="C8" s="6"/>
      <c r="D8" s="6"/>
      <c r="E8" s="48"/>
      <c r="F8" s="48"/>
      <c r="G8" s="48"/>
      <c r="H8" s="48"/>
      <c r="I8" s="6"/>
      <c r="J8" s="6"/>
    </row>
    <row r="9" spans="3:29" x14ac:dyDescent="0.25">
      <c r="C9" s="6"/>
      <c r="D9" s="6"/>
      <c r="E9" s="48"/>
      <c r="F9" s="48"/>
      <c r="G9" s="48"/>
      <c r="H9" s="48"/>
      <c r="I9" s="6"/>
      <c r="J9" s="6"/>
    </row>
    <row r="10" spans="3:29" x14ac:dyDescent="0.25">
      <c r="C10" s="6"/>
      <c r="D10" s="6"/>
      <c r="E10" s="48"/>
      <c r="F10" s="48"/>
      <c r="G10" s="48"/>
      <c r="H10" s="48"/>
      <c r="I10" s="6"/>
      <c r="J10" s="6"/>
    </row>
    <row r="11" spans="3:29" x14ac:dyDescent="0.25">
      <c r="C11" s="6"/>
      <c r="D11" s="6"/>
      <c r="E11" s="48"/>
      <c r="F11" s="48"/>
      <c r="G11" s="48"/>
      <c r="H11" s="48"/>
      <c r="I11" s="6"/>
      <c r="J11" s="6"/>
    </row>
    <row r="12" spans="3:29" x14ac:dyDescent="0.25">
      <c r="C12" s="6"/>
      <c r="D12" s="6"/>
      <c r="E12" s="48"/>
      <c r="F12" s="48"/>
      <c r="G12" s="48"/>
      <c r="H12" s="48"/>
      <c r="I12" s="6"/>
      <c r="J12" s="6"/>
      <c r="R12" s="4" t="s">
        <v>10</v>
      </c>
      <c r="S12" s="4" t="s">
        <v>199</v>
      </c>
      <c r="T12" s="4"/>
      <c r="U12" s="4" t="s">
        <v>200</v>
      </c>
      <c r="V12" s="4"/>
      <c r="W12" s="4" t="s">
        <v>139</v>
      </c>
      <c r="X12" s="4" t="s">
        <v>140</v>
      </c>
      <c r="Y12" s="4" t="s">
        <v>153</v>
      </c>
      <c r="Z12" s="4" t="s">
        <v>141</v>
      </c>
    </row>
    <row r="13" spans="3:29" x14ac:dyDescent="0.25">
      <c r="C13" s="6"/>
      <c r="D13" s="6"/>
      <c r="E13" s="48"/>
      <c r="F13" s="48"/>
      <c r="G13" s="48"/>
      <c r="H13" s="48"/>
      <c r="I13" s="6"/>
      <c r="J13" s="6"/>
      <c r="R13">
        <v>45</v>
      </c>
      <c r="S13">
        <v>8.1999999999999993</v>
      </c>
      <c r="T13" t="s">
        <v>136</v>
      </c>
      <c r="U13">
        <f>S13*$O$16</f>
        <v>57399.999999999993</v>
      </c>
      <c r="V13" t="s">
        <v>138</v>
      </c>
      <c r="W13">
        <f>0.2*U13</f>
        <v>11480</v>
      </c>
      <c r="X13">
        <f>W13*5</f>
        <v>57400</v>
      </c>
      <c r="Y13">
        <f>X13*2</f>
        <v>114800</v>
      </c>
      <c r="Z13">
        <v>6500</v>
      </c>
      <c r="AC13" s="27" t="s">
        <v>143</v>
      </c>
    </row>
    <row r="14" spans="3:29" x14ac:dyDescent="0.25">
      <c r="C14" s="6"/>
      <c r="D14" s="6"/>
      <c r="E14" s="6"/>
      <c r="F14" s="6"/>
      <c r="G14" s="6"/>
      <c r="H14" s="6"/>
      <c r="I14" s="6"/>
      <c r="J14" s="6"/>
      <c r="R14">
        <v>100</v>
      </c>
      <c r="S14">
        <v>10.7</v>
      </c>
      <c r="T14" t="s">
        <v>136</v>
      </c>
      <c r="U14">
        <f>S14*$O$16</f>
        <v>74900</v>
      </c>
      <c r="V14" t="s">
        <v>138</v>
      </c>
      <c r="W14">
        <f>0.2*U14</f>
        <v>14980</v>
      </c>
      <c r="X14">
        <f>W14*5</f>
        <v>74900</v>
      </c>
      <c r="Y14">
        <f t="shared" ref="Y14:Y15" si="0">X14*2</f>
        <v>149800</v>
      </c>
      <c r="Z14">
        <v>7000</v>
      </c>
      <c r="AC14" s="27" t="s">
        <v>144</v>
      </c>
    </row>
    <row r="15" spans="3:29" x14ac:dyDescent="0.25">
      <c r="C15" s="6"/>
      <c r="D15" s="6"/>
      <c r="E15" s="6"/>
      <c r="F15" s="6"/>
      <c r="G15" s="6"/>
      <c r="H15" s="6"/>
      <c r="I15" s="6"/>
      <c r="J15" s="6"/>
      <c r="O15" t="s">
        <v>201</v>
      </c>
      <c r="R15">
        <v>150</v>
      </c>
      <c r="S15">
        <v>17</v>
      </c>
      <c r="T15" t="s">
        <v>136</v>
      </c>
      <c r="U15">
        <f>S15*$O$16</f>
        <v>119000</v>
      </c>
      <c r="V15" t="s">
        <v>138</v>
      </c>
      <c r="W15">
        <f>0.2*U15</f>
        <v>23800</v>
      </c>
      <c r="X15">
        <f t="shared" ref="X15" si="1">W15*5</f>
        <v>119000</v>
      </c>
      <c r="Y15">
        <f t="shared" si="0"/>
        <v>238000</v>
      </c>
      <c r="Z15">
        <v>8600</v>
      </c>
      <c r="AC15" s="27" t="s">
        <v>145</v>
      </c>
    </row>
    <row r="16" spans="3:29" x14ac:dyDescent="0.25">
      <c r="O16">
        <v>7000</v>
      </c>
      <c r="P16" t="s">
        <v>69</v>
      </c>
      <c r="R16">
        <v>300</v>
      </c>
      <c r="S16">
        <v>26</v>
      </c>
      <c r="T16" t="s">
        <v>136</v>
      </c>
      <c r="U16">
        <f>S16*$O$16</f>
        <v>182000</v>
      </c>
      <c r="V16" t="s">
        <v>138</v>
      </c>
      <c r="W16">
        <f>0.2*U16</f>
        <v>36400</v>
      </c>
      <c r="X16">
        <f>W16*5</f>
        <v>182000</v>
      </c>
      <c r="Y16">
        <f>X16*2</f>
        <v>364000</v>
      </c>
      <c r="Z16">
        <v>11000</v>
      </c>
      <c r="AC16" s="27" t="s">
        <v>146</v>
      </c>
    </row>
    <row r="19" spans="17:31" x14ac:dyDescent="0.25">
      <c r="Q19" s="6"/>
      <c r="R19" s="28" t="s">
        <v>147</v>
      </c>
      <c r="S19" s="28"/>
      <c r="T19" s="31" t="s">
        <v>149</v>
      </c>
      <c r="U19" s="31"/>
      <c r="V19" s="39" t="s">
        <v>150</v>
      </c>
      <c r="W19" s="39"/>
      <c r="X19" s="35" t="s">
        <v>151</v>
      </c>
      <c r="Y19" s="35"/>
      <c r="Z19" s="33" t="s">
        <v>161</v>
      </c>
      <c r="AA19" s="33"/>
      <c r="AB19" s="37" t="s">
        <v>145</v>
      </c>
      <c r="AC19" s="37"/>
      <c r="AD19" s="41" t="s">
        <v>146</v>
      </c>
      <c r="AE19" s="41"/>
    </row>
    <row r="20" spans="17:31" x14ac:dyDescent="0.25">
      <c r="Q20" s="6"/>
      <c r="R20" s="28" t="s">
        <v>137</v>
      </c>
      <c r="S20" s="28" t="s">
        <v>148</v>
      </c>
      <c r="T20" s="31" t="s">
        <v>137</v>
      </c>
      <c r="U20" s="31" t="s">
        <v>148</v>
      </c>
      <c r="V20" s="39" t="s">
        <v>137</v>
      </c>
      <c r="W20" s="39" t="s">
        <v>148</v>
      </c>
      <c r="X20" s="35" t="s">
        <v>137</v>
      </c>
      <c r="Y20" s="35" t="s">
        <v>148</v>
      </c>
      <c r="Z20" s="33" t="s">
        <v>137</v>
      </c>
      <c r="AA20" s="33" t="s">
        <v>152</v>
      </c>
      <c r="AB20" s="37" t="s">
        <v>137</v>
      </c>
      <c r="AC20" s="37" t="s">
        <v>148</v>
      </c>
      <c r="AD20" s="41" t="s">
        <v>137</v>
      </c>
      <c r="AE20" s="41" t="s">
        <v>148</v>
      </c>
    </row>
    <row r="21" spans="17:31" x14ac:dyDescent="0.25">
      <c r="Q21" s="6" t="s">
        <v>142</v>
      </c>
      <c r="R21" s="28">
        <f>X16</f>
        <v>182000</v>
      </c>
      <c r="S21" s="28">
        <f>Y16</f>
        <v>364000</v>
      </c>
      <c r="T21" s="31">
        <f>X15</f>
        <v>119000</v>
      </c>
      <c r="U21" s="31">
        <f>Y15</f>
        <v>238000</v>
      </c>
      <c r="V21" s="39">
        <f>X14</f>
        <v>74900</v>
      </c>
      <c r="W21" s="39">
        <f>Y14</f>
        <v>149800</v>
      </c>
      <c r="X21" s="35">
        <f>X13</f>
        <v>57400</v>
      </c>
      <c r="Y21" s="35">
        <f>Y13</f>
        <v>114800</v>
      </c>
      <c r="Z21" s="33">
        <f>X13</f>
        <v>57400</v>
      </c>
      <c r="AA21" s="33">
        <f>Y21</f>
        <v>114800</v>
      </c>
      <c r="AB21" s="37">
        <f>X13</f>
        <v>57400</v>
      </c>
      <c r="AC21" s="37">
        <f>Y13</f>
        <v>114800</v>
      </c>
      <c r="AD21" s="41">
        <f>X14</f>
        <v>74900</v>
      </c>
      <c r="AE21" s="41">
        <f>Y14</f>
        <v>149800</v>
      </c>
    </row>
    <row r="22" spans="17:31" x14ac:dyDescent="0.25">
      <c r="Q22" s="6" t="s">
        <v>141</v>
      </c>
      <c r="R22" s="28">
        <f>Z16*2</f>
        <v>22000</v>
      </c>
      <c r="S22" s="28">
        <f>Z16*2</f>
        <v>22000</v>
      </c>
      <c r="T22" s="31">
        <f>Z15*3</f>
        <v>25800</v>
      </c>
      <c r="U22" s="31">
        <f>T22</f>
        <v>25800</v>
      </c>
      <c r="V22" s="39">
        <f>Z14*4</f>
        <v>28000</v>
      </c>
      <c r="W22" s="39">
        <f>V22</f>
        <v>28000</v>
      </c>
      <c r="X22" s="35">
        <f>Z13+(Z14*3)</f>
        <v>27500</v>
      </c>
      <c r="Y22" s="35">
        <f>X22</f>
        <v>27500</v>
      </c>
      <c r="Z22" s="33">
        <f>(1*Z13)+(3*Z15)</f>
        <v>32300</v>
      </c>
      <c r="AA22" s="33">
        <f>Z22</f>
        <v>32300</v>
      </c>
      <c r="AB22" s="37">
        <f>Z13+(2*Z16)</f>
        <v>28500</v>
      </c>
      <c r="AC22" s="37">
        <f>AB22</f>
        <v>28500</v>
      </c>
      <c r="AD22" s="41">
        <f>Z14+(2*Z15)</f>
        <v>24200</v>
      </c>
      <c r="AE22" s="41">
        <f>AD22</f>
        <v>24200</v>
      </c>
    </row>
    <row r="23" spans="17:31" x14ac:dyDescent="0.25">
      <c r="Q23" s="30" t="s">
        <v>64</v>
      </c>
      <c r="R23" s="29">
        <f>R21+R22</f>
        <v>204000</v>
      </c>
      <c r="S23" s="29">
        <f>S21+S22</f>
        <v>386000</v>
      </c>
      <c r="T23" s="32">
        <f>T22+T21</f>
        <v>144800</v>
      </c>
      <c r="U23" s="32">
        <f>U22+U21</f>
        <v>263800</v>
      </c>
      <c r="V23" s="40">
        <f>V22+V21</f>
        <v>102900</v>
      </c>
      <c r="W23" s="40">
        <f>W22+W21</f>
        <v>177800</v>
      </c>
      <c r="X23" s="36">
        <f>X21+X22</f>
        <v>84900</v>
      </c>
      <c r="Y23" s="36">
        <f>Y21+Y22</f>
        <v>142300</v>
      </c>
      <c r="Z23" s="34">
        <f>Z21+Z22</f>
        <v>89700</v>
      </c>
      <c r="AA23" s="34">
        <f>AA21+AA22</f>
        <v>147100</v>
      </c>
      <c r="AB23" s="38">
        <f>AB22+AB21</f>
        <v>85900</v>
      </c>
      <c r="AC23" s="38">
        <f>AC22+AC21</f>
        <v>143300</v>
      </c>
      <c r="AD23" s="42">
        <f>AD21+AD22</f>
        <v>99100</v>
      </c>
      <c r="AE23" s="42">
        <f>AE21+AE22</f>
        <v>174000</v>
      </c>
    </row>
    <row r="26" spans="17:31" x14ac:dyDescent="0.25">
      <c r="AB26" t="s">
        <v>154</v>
      </c>
    </row>
    <row r="27" spans="17:31" x14ac:dyDescent="0.25">
      <c r="X27" s="35" t="s">
        <v>155</v>
      </c>
      <c r="Y27" s="35"/>
      <c r="Z27" s="33" t="s">
        <v>156</v>
      </c>
      <c r="AA27" s="33"/>
      <c r="AB27" s="37" t="s">
        <v>157</v>
      </c>
      <c r="AC27" s="37"/>
      <c r="AD27" s="41" t="s">
        <v>158</v>
      </c>
      <c r="AE27" s="41"/>
    </row>
    <row r="28" spans="17:31" x14ac:dyDescent="0.25">
      <c r="X28" s="35" t="s">
        <v>137</v>
      </c>
      <c r="Y28" s="35" t="s">
        <v>148</v>
      </c>
      <c r="Z28" s="33" t="s">
        <v>137</v>
      </c>
      <c r="AA28" s="33" t="s">
        <v>152</v>
      </c>
      <c r="AB28" s="37" t="s">
        <v>137</v>
      </c>
      <c r="AC28" s="37" t="s">
        <v>148</v>
      </c>
      <c r="AD28" s="41" t="s">
        <v>137</v>
      </c>
      <c r="AE28" s="41" t="s">
        <v>148</v>
      </c>
    </row>
    <row r="29" spans="17:31" x14ac:dyDescent="0.25">
      <c r="W29" s="6" t="s">
        <v>159</v>
      </c>
      <c r="X29" s="35">
        <v>57400</v>
      </c>
      <c r="Y29" s="35">
        <v>114800</v>
      </c>
      <c r="Z29" s="33">
        <v>57400</v>
      </c>
      <c r="AA29" s="33">
        <v>114800</v>
      </c>
      <c r="AB29" s="37">
        <v>57400</v>
      </c>
      <c r="AC29" s="37">
        <v>114800</v>
      </c>
      <c r="AD29" s="41">
        <v>74900</v>
      </c>
      <c r="AE29" s="41">
        <v>149800</v>
      </c>
    </row>
    <row r="30" spans="17:31" x14ac:dyDescent="0.25">
      <c r="W30" s="6" t="s">
        <v>160</v>
      </c>
      <c r="X30" s="35">
        <v>27500</v>
      </c>
      <c r="Y30" s="35">
        <v>27500</v>
      </c>
      <c r="Z30" s="33">
        <f>Z22</f>
        <v>32300</v>
      </c>
      <c r="AA30" s="33">
        <f>AA22</f>
        <v>32300</v>
      </c>
      <c r="AB30" s="37">
        <v>28500</v>
      </c>
      <c r="AC30" s="37">
        <v>28500</v>
      </c>
      <c r="AD30" s="41">
        <v>24200</v>
      </c>
      <c r="AE30" s="41">
        <v>24200</v>
      </c>
    </row>
    <row r="31" spans="17:31" x14ac:dyDescent="0.25">
      <c r="W31" s="30" t="s">
        <v>64</v>
      </c>
      <c r="X31" s="36">
        <v>84900</v>
      </c>
      <c r="Y31" s="36">
        <v>142300</v>
      </c>
      <c r="Z31" s="34">
        <f>Z23</f>
        <v>89700</v>
      </c>
      <c r="AA31" s="34">
        <f>AA23</f>
        <v>147100</v>
      </c>
      <c r="AB31" s="38">
        <v>85900</v>
      </c>
      <c r="AC31" s="38">
        <v>143300</v>
      </c>
      <c r="AD31" s="42">
        <v>99100</v>
      </c>
      <c r="AE31" s="42">
        <v>174000</v>
      </c>
    </row>
  </sheetData>
  <pageMargins left="0.7" right="0.7" top="0.75" bottom="0.75" header="0.3" footer="0.3"/>
  <pageSetup paperSize="11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tabSelected="1" workbookViewId="0">
      <selection activeCell="R27" sqref="R27"/>
    </sheetView>
  </sheetViews>
  <sheetFormatPr defaultRowHeight="15" x14ac:dyDescent="0.25"/>
  <cols>
    <col min="2" max="2" width="6" bestFit="1" customWidth="1"/>
  </cols>
  <sheetData>
    <row r="1" spans="2:13" x14ac:dyDescent="0.25">
      <c r="C1" s="20">
        <v>42245</v>
      </c>
      <c r="F1" s="20">
        <v>42315</v>
      </c>
      <c r="I1" s="20">
        <v>42067</v>
      </c>
      <c r="L1" s="20">
        <v>42173</v>
      </c>
    </row>
    <row r="2" spans="2:13" x14ac:dyDescent="0.25">
      <c r="C2" s="44" t="s">
        <v>174</v>
      </c>
      <c r="D2" t="s">
        <v>173</v>
      </c>
      <c r="F2" s="44" t="s">
        <v>174</v>
      </c>
      <c r="G2" t="s">
        <v>173</v>
      </c>
      <c r="I2" s="44" t="s">
        <v>174</v>
      </c>
      <c r="J2" t="s">
        <v>173</v>
      </c>
      <c r="L2" s="44" t="s">
        <v>174</v>
      </c>
      <c r="M2" t="s">
        <v>173</v>
      </c>
    </row>
    <row r="3" spans="2:13" x14ac:dyDescent="0.25">
      <c r="B3">
        <v>0</v>
      </c>
      <c r="C3">
        <v>119</v>
      </c>
      <c r="D3">
        <v>23.4</v>
      </c>
      <c r="F3">
        <v>88</v>
      </c>
      <c r="G3">
        <v>9.8000000000000007</v>
      </c>
      <c r="I3">
        <v>94</v>
      </c>
      <c r="J3">
        <v>3.9</v>
      </c>
      <c r="L3">
        <v>117</v>
      </c>
      <c r="M3">
        <v>22.4</v>
      </c>
    </row>
    <row r="4" spans="2:13" x14ac:dyDescent="0.25">
      <c r="B4">
        <v>1</v>
      </c>
      <c r="C4">
        <v>118</v>
      </c>
      <c r="D4">
        <v>22.8</v>
      </c>
      <c r="F4">
        <v>87</v>
      </c>
      <c r="G4">
        <v>9.8000000000000007</v>
      </c>
      <c r="I4">
        <v>95</v>
      </c>
      <c r="J4">
        <v>4</v>
      </c>
      <c r="L4">
        <v>118</v>
      </c>
      <c r="M4">
        <v>22.3</v>
      </c>
    </row>
    <row r="5" spans="2:13" x14ac:dyDescent="0.25">
      <c r="B5">
        <v>2</v>
      </c>
      <c r="C5">
        <v>120</v>
      </c>
      <c r="D5">
        <v>22.6</v>
      </c>
      <c r="F5">
        <v>87</v>
      </c>
      <c r="G5">
        <v>9.8000000000000007</v>
      </c>
      <c r="I5">
        <v>95</v>
      </c>
      <c r="J5">
        <v>3.9</v>
      </c>
      <c r="L5">
        <v>119</v>
      </c>
      <c r="M5">
        <v>22.1</v>
      </c>
    </row>
    <row r="6" spans="2:13" x14ac:dyDescent="0.25">
      <c r="B6">
        <v>3</v>
      </c>
      <c r="C6">
        <v>121</v>
      </c>
      <c r="D6">
        <v>22.6</v>
      </c>
      <c r="F6">
        <v>86</v>
      </c>
      <c r="G6">
        <v>9.8000000000000007</v>
      </c>
      <c r="I6">
        <v>94</v>
      </c>
      <c r="J6">
        <v>3.9</v>
      </c>
      <c r="L6">
        <v>120</v>
      </c>
      <c r="M6">
        <v>21.9</v>
      </c>
    </row>
    <row r="7" spans="2:13" x14ac:dyDescent="0.25">
      <c r="B7">
        <v>4</v>
      </c>
      <c r="C7">
        <v>120</v>
      </c>
      <c r="D7">
        <v>22.5</v>
      </c>
      <c r="F7">
        <v>87</v>
      </c>
      <c r="G7">
        <v>9.8000000000000007</v>
      </c>
      <c r="I7">
        <v>94</v>
      </c>
      <c r="J7">
        <v>3.9</v>
      </c>
      <c r="L7">
        <v>133</v>
      </c>
      <c r="M7">
        <v>21.5</v>
      </c>
    </row>
    <row r="8" spans="2:13" x14ac:dyDescent="0.25">
      <c r="B8">
        <v>5</v>
      </c>
      <c r="C8">
        <v>119</v>
      </c>
      <c r="D8">
        <v>22.2</v>
      </c>
      <c r="F8">
        <v>87</v>
      </c>
      <c r="G8">
        <v>9.8000000000000007</v>
      </c>
      <c r="I8">
        <v>94</v>
      </c>
      <c r="J8">
        <v>3.9</v>
      </c>
      <c r="L8">
        <v>129</v>
      </c>
      <c r="M8">
        <v>18.7</v>
      </c>
    </row>
    <row r="9" spans="2:13" x14ac:dyDescent="0.25">
      <c r="B9">
        <v>6</v>
      </c>
      <c r="C9">
        <v>131</v>
      </c>
      <c r="D9">
        <v>20.7</v>
      </c>
      <c r="F9">
        <v>87</v>
      </c>
      <c r="G9">
        <v>9.8000000000000007</v>
      </c>
      <c r="I9">
        <v>94</v>
      </c>
      <c r="J9">
        <v>4</v>
      </c>
      <c r="L9">
        <v>146</v>
      </c>
      <c r="M9">
        <v>16.399999999999999</v>
      </c>
    </row>
    <row r="10" spans="2:13" x14ac:dyDescent="0.25">
      <c r="B10">
        <v>7</v>
      </c>
      <c r="C10">
        <v>125</v>
      </c>
      <c r="D10">
        <v>18</v>
      </c>
      <c r="F10">
        <v>86</v>
      </c>
      <c r="G10">
        <v>9.8000000000000007</v>
      </c>
      <c r="I10">
        <v>95</v>
      </c>
      <c r="J10">
        <v>4</v>
      </c>
      <c r="L10">
        <v>172</v>
      </c>
      <c r="M10">
        <v>13.8</v>
      </c>
    </row>
    <row r="11" spans="2:13" x14ac:dyDescent="0.25">
      <c r="B11">
        <v>8</v>
      </c>
      <c r="C11">
        <v>119</v>
      </c>
      <c r="D11">
        <v>14.7</v>
      </c>
      <c r="F11">
        <v>86</v>
      </c>
      <c r="G11">
        <v>9.8000000000000007</v>
      </c>
      <c r="I11">
        <v>94</v>
      </c>
      <c r="J11">
        <v>4</v>
      </c>
      <c r="L11">
        <v>175</v>
      </c>
      <c r="M11">
        <v>11.2</v>
      </c>
    </row>
    <row r="12" spans="2:13" x14ac:dyDescent="0.25">
      <c r="B12">
        <v>9</v>
      </c>
      <c r="C12">
        <v>110</v>
      </c>
      <c r="D12">
        <v>12.3</v>
      </c>
      <c r="F12">
        <v>86</v>
      </c>
      <c r="G12">
        <v>9.8000000000000007</v>
      </c>
      <c r="I12">
        <v>94</v>
      </c>
      <c r="J12">
        <v>3.9</v>
      </c>
      <c r="L12">
        <v>166</v>
      </c>
      <c r="M12">
        <v>9.1999999999999993</v>
      </c>
    </row>
    <row r="13" spans="2:13" x14ac:dyDescent="0.25">
      <c r="B13">
        <v>10</v>
      </c>
      <c r="C13">
        <v>86</v>
      </c>
      <c r="D13">
        <v>10.199999999999999</v>
      </c>
      <c r="F13">
        <v>85</v>
      </c>
      <c r="G13">
        <v>9.8000000000000007</v>
      </c>
      <c r="I13">
        <v>94</v>
      </c>
      <c r="J13">
        <v>3.9</v>
      </c>
      <c r="L13">
        <v>142</v>
      </c>
      <c r="M13">
        <v>8.1</v>
      </c>
    </row>
    <row r="14" spans="2:13" x14ac:dyDescent="0.25">
      <c r="B14">
        <v>11</v>
      </c>
      <c r="C14">
        <v>59</v>
      </c>
      <c r="D14">
        <v>9</v>
      </c>
      <c r="F14">
        <v>85</v>
      </c>
      <c r="G14">
        <v>9.8000000000000007</v>
      </c>
      <c r="I14">
        <v>93</v>
      </c>
      <c r="J14">
        <v>3.9</v>
      </c>
      <c r="L14">
        <v>111</v>
      </c>
      <c r="M14">
        <v>7.2</v>
      </c>
    </row>
    <row r="15" spans="2:13" x14ac:dyDescent="0.25">
      <c r="B15">
        <v>12</v>
      </c>
      <c r="C15">
        <v>47</v>
      </c>
      <c r="D15">
        <v>8.3000000000000007</v>
      </c>
      <c r="F15">
        <v>86</v>
      </c>
      <c r="G15">
        <v>9.8000000000000007</v>
      </c>
      <c r="I15">
        <v>93</v>
      </c>
      <c r="J15">
        <v>3.9</v>
      </c>
      <c r="L15">
        <v>86</v>
      </c>
      <c r="M15">
        <v>6.4</v>
      </c>
    </row>
    <row r="16" spans="2:13" x14ac:dyDescent="0.25">
      <c r="B16">
        <v>13</v>
      </c>
      <c r="C16">
        <v>42</v>
      </c>
      <c r="D16">
        <v>7.6</v>
      </c>
      <c r="F16">
        <v>86</v>
      </c>
      <c r="G16">
        <v>9.8000000000000007</v>
      </c>
      <c r="I16">
        <v>93</v>
      </c>
      <c r="J16">
        <v>3.9</v>
      </c>
      <c r="L16">
        <v>73</v>
      </c>
      <c r="M16">
        <v>5.9</v>
      </c>
    </row>
    <row r="17" spans="2:16" x14ac:dyDescent="0.25">
      <c r="B17">
        <v>14</v>
      </c>
      <c r="C17">
        <v>40</v>
      </c>
      <c r="D17">
        <v>7.4</v>
      </c>
      <c r="F17">
        <v>86</v>
      </c>
      <c r="G17">
        <v>9.8000000000000007</v>
      </c>
      <c r="I17">
        <v>94</v>
      </c>
      <c r="J17">
        <v>3.9</v>
      </c>
      <c r="L17">
        <v>71</v>
      </c>
      <c r="M17">
        <v>5.7</v>
      </c>
    </row>
    <row r="18" spans="2:16" x14ac:dyDescent="0.25">
      <c r="B18">
        <v>15</v>
      </c>
      <c r="C18">
        <v>40</v>
      </c>
      <c r="D18">
        <v>7.1</v>
      </c>
      <c r="F18">
        <v>44</v>
      </c>
      <c r="G18">
        <v>9.1</v>
      </c>
      <c r="I18">
        <v>94</v>
      </c>
      <c r="J18">
        <v>3.9</v>
      </c>
      <c r="L18">
        <v>68</v>
      </c>
      <c r="M18">
        <v>5.5</v>
      </c>
    </row>
    <row r="19" spans="2:16" x14ac:dyDescent="0.25">
      <c r="B19">
        <v>16</v>
      </c>
      <c r="C19">
        <v>40</v>
      </c>
      <c r="D19">
        <v>6.9</v>
      </c>
      <c r="F19">
        <v>22</v>
      </c>
      <c r="G19">
        <v>7.3</v>
      </c>
      <c r="I19">
        <v>94</v>
      </c>
      <c r="J19">
        <v>3.9</v>
      </c>
      <c r="L19">
        <v>66</v>
      </c>
      <c r="M19">
        <v>5.3</v>
      </c>
    </row>
    <row r="20" spans="2:16" x14ac:dyDescent="0.25">
      <c r="B20">
        <v>17</v>
      </c>
      <c r="C20">
        <v>41</v>
      </c>
      <c r="D20">
        <v>6.7</v>
      </c>
      <c r="F20">
        <v>22</v>
      </c>
      <c r="G20">
        <v>6.8</v>
      </c>
      <c r="I20">
        <v>94</v>
      </c>
      <c r="J20">
        <v>3.9</v>
      </c>
      <c r="L20">
        <v>65</v>
      </c>
      <c r="M20">
        <v>5.3</v>
      </c>
    </row>
    <row r="21" spans="2:16" x14ac:dyDescent="0.25">
      <c r="B21">
        <v>18</v>
      </c>
      <c r="C21">
        <v>42</v>
      </c>
      <c r="D21">
        <v>6.6</v>
      </c>
      <c r="F21">
        <v>23</v>
      </c>
      <c r="G21">
        <v>6.6</v>
      </c>
      <c r="I21">
        <v>94</v>
      </c>
      <c r="J21">
        <v>3.9</v>
      </c>
      <c r="L21">
        <v>65</v>
      </c>
      <c r="M21">
        <v>5.2</v>
      </c>
    </row>
    <row r="22" spans="2:16" x14ac:dyDescent="0.25">
      <c r="B22">
        <v>19</v>
      </c>
      <c r="C22">
        <v>41</v>
      </c>
      <c r="D22">
        <v>6.4</v>
      </c>
      <c r="F22">
        <v>21</v>
      </c>
      <c r="G22">
        <v>6.5</v>
      </c>
      <c r="I22">
        <v>93</v>
      </c>
      <c r="J22">
        <v>3.9</v>
      </c>
      <c r="L22">
        <v>67</v>
      </c>
      <c r="M22">
        <v>5.0999999999999996</v>
      </c>
    </row>
    <row r="23" spans="2:16" x14ac:dyDescent="0.25">
      <c r="B23">
        <v>20</v>
      </c>
      <c r="C23">
        <v>41</v>
      </c>
      <c r="D23">
        <v>6.4</v>
      </c>
      <c r="F23">
        <v>19</v>
      </c>
      <c r="G23">
        <v>6.5</v>
      </c>
      <c r="I23">
        <v>93</v>
      </c>
      <c r="J23">
        <v>3.9</v>
      </c>
      <c r="L23">
        <v>64</v>
      </c>
      <c r="M23">
        <v>5</v>
      </c>
    </row>
    <row r="24" spans="2:16" x14ac:dyDescent="0.25">
      <c r="B24">
        <v>25</v>
      </c>
      <c r="C24">
        <v>39</v>
      </c>
      <c r="D24">
        <v>6.8</v>
      </c>
      <c r="F24">
        <v>23</v>
      </c>
      <c r="G24">
        <v>6.8</v>
      </c>
      <c r="I24">
        <v>94</v>
      </c>
      <c r="J24">
        <v>3.9</v>
      </c>
      <c r="L24">
        <v>57</v>
      </c>
      <c r="M24">
        <v>5</v>
      </c>
    </row>
    <row r="25" spans="2:16" x14ac:dyDescent="0.25">
      <c r="B25">
        <v>30</v>
      </c>
      <c r="C25">
        <v>36</v>
      </c>
      <c r="D25">
        <v>7.1</v>
      </c>
      <c r="F25">
        <v>20</v>
      </c>
      <c r="G25">
        <v>6.6</v>
      </c>
      <c r="I25">
        <v>94</v>
      </c>
      <c r="J25">
        <v>3.9</v>
      </c>
    </row>
    <row r="26" spans="2:16" x14ac:dyDescent="0.25">
      <c r="B26">
        <v>35</v>
      </c>
      <c r="C26">
        <v>21</v>
      </c>
      <c r="D26">
        <v>7.1</v>
      </c>
      <c r="F26">
        <v>4</v>
      </c>
      <c r="G26">
        <v>6.5</v>
      </c>
    </row>
    <row r="30" spans="2:16" x14ac:dyDescent="0.25">
      <c r="P30">
        <f>6*15*2</f>
        <v>180</v>
      </c>
    </row>
    <row r="31" spans="2:16" x14ac:dyDescent="0.25">
      <c r="P31">
        <f>P30*1000</f>
        <v>180000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Berekening</vt:lpstr>
      <vt:lpstr>Cascade &amp; calamiteit</vt:lpstr>
      <vt:lpstr>Kosten</vt:lpstr>
      <vt:lpstr>Verschil Leveranciers</vt:lpstr>
      <vt:lpstr>Pompvarianten</vt:lpstr>
      <vt:lpstr>Zuurstof en temperatuur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r.cordova</dc:creator>
  <cp:lastModifiedBy>Customer</cp:lastModifiedBy>
  <cp:lastPrinted>2015-05-01T14:02:57Z</cp:lastPrinted>
  <dcterms:created xsi:type="dcterms:W3CDTF">2015-02-26T08:04:33Z</dcterms:created>
  <dcterms:modified xsi:type="dcterms:W3CDTF">2015-06-04T07:05:43Z</dcterms:modified>
</cp:coreProperties>
</file>