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3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0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e8191e159830d363/Desktop/"/>
    </mc:Choice>
  </mc:AlternateContent>
  <xr:revisionPtr revIDLastSave="63" documentId="11_F25DC773A252ABDACC10484F511879A05ADE58ED" xr6:coauthVersionLast="47" xr6:coauthVersionMax="47" xr10:uidLastSave="{210D076A-88C4-43B5-8B5F-0429BDB70F38}"/>
  <bookViews>
    <workbookView xWindow="-108" yWindow="-108" windowWidth="23256" windowHeight="12456" activeTab="2" xr2:uid="{00000000-000D-0000-FFFF-FFFF00000000}"/>
  </bookViews>
  <sheets>
    <sheet name="Setup 1" sheetId="2" r:id="rId1"/>
    <sheet name="Setup 2" sheetId="10" r:id="rId2"/>
    <sheet name="Setup 3" sheetId="11" r:id="rId3"/>
    <sheet name="Orifice - 0.4 mm" sheetId="3" r:id="rId4"/>
    <sheet name="Curve Data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0" l="1"/>
  <c r="I22" i="2"/>
  <c r="D26" i="11"/>
  <c r="C26" i="11"/>
  <c r="D25" i="11"/>
  <c r="C25" i="11"/>
  <c r="D24" i="11"/>
  <c r="C24" i="11"/>
  <c r="D23" i="11"/>
  <c r="I33" i="11" s="1"/>
  <c r="C23" i="11"/>
  <c r="I15" i="11" s="1"/>
  <c r="D22" i="11"/>
  <c r="C22" i="11"/>
  <c r="M17" i="11"/>
  <c r="I6" i="11" s="1"/>
  <c r="L17" i="11"/>
  <c r="I12" i="11"/>
  <c r="I2" i="11"/>
  <c r="I3" i="11" s="1"/>
  <c r="D26" i="10"/>
  <c r="C26" i="10"/>
  <c r="D25" i="10"/>
  <c r="C25" i="10"/>
  <c r="D24" i="10"/>
  <c r="C24" i="10"/>
  <c r="D23" i="10"/>
  <c r="I33" i="10" s="1"/>
  <c r="C23" i="10"/>
  <c r="I15" i="10" s="1"/>
  <c r="D22" i="10"/>
  <c r="C22" i="10"/>
  <c r="M17" i="10"/>
  <c r="I6" i="10" s="1"/>
  <c r="I10" i="10" s="1"/>
  <c r="L17" i="10"/>
  <c r="I12" i="10"/>
  <c r="I20" i="10" s="1"/>
  <c r="I2" i="10"/>
  <c r="I3" i="10" s="1"/>
  <c r="D26" i="2"/>
  <c r="D25" i="2"/>
  <c r="D24" i="2"/>
  <c r="D23" i="2"/>
  <c r="D22" i="2"/>
  <c r="C26" i="2"/>
  <c r="C25" i="2"/>
  <c r="C24" i="2"/>
  <c r="C23" i="2"/>
  <c r="C22" i="2"/>
  <c r="L17" i="2"/>
  <c r="M17" i="2"/>
  <c r="I6" i="2" s="1"/>
  <c r="I2" i="2"/>
  <c r="I12" i="2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4" i="5"/>
  <c r="B4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5" i="5"/>
  <c r="B6" i="5"/>
  <c r="I10" i="11" l="1"/>
  <c r="I20" i="11"/>
  <c r="I23" i="11" s="1"/>
  <c r="I7" i="11"/>
  <c r="I8" i="11" s="1"/>
  <c r="I9" i="11" s="1"/>
  <c r="I4" i="11"/>
  <c r="I5" i="11" s="1"/>
  <c r="I32" i="11"/>
  <c r="I34" i="11" s="1"/>
  <c r="I14" i="11"/>
  <c r="I26" i="11" s="1"/>
  <c r="I11" i="11"/>
  <c r="I7" i="10"/>
  <c r="I8" i="10" s="1"/>
  <c r="I9" i="10" s="1"/>
  <c r="I4" i="10"/>
  <c r="I5" i="10" s="1"/>
  <c r="I32" i="10"/>
  <c r="I34" i="10" s="1"/>
  <c r="I14" i="10"/>
  <c r="I26" i="10" s="1"/>
  <c r="I11" i="10"/>
  <c r="I23" i="10"/>
  <c r="I33" i="2"/>
  <c r="I15" i="2"/>
  <c r="I20" i="2"/>
  <c r="I23" i="2" s="1"/>
  <c r="I3" i="2"/>
  <c r="I27" i="11" l="1"/>
  <c r="I28" i="11" s="1"/>
  <c r="I35" i="11"/>
  <c r="I36" i="11" s="1"/>
  <c r="I18" i="11"/>
  <c r="I17" i="11" s="1"/>
  <c r="I19" i="11" s="1"/>
  <c r="I21" i="11" s="1"/>
  <c r="I22" i="11" s="1"/>
  <c r="I30" i="10"/>
  <c r="I27" i="10"/>
  <c r="I29" i="10"/>
  <c r="I28" i="10"/>
  <c r="I35" i="10"/>
  <c r="I36" i="10" s="1"/>
  <c r="I37" i="10" s="1"/>
  <c r="I38" i="10" s="1"/>
  <c r="I18" i="10"/>
  <c r="I17" i="10" s="1"/>
  <c r="I19" i="10" s="1"/>
  <c r="I21" i="10" s="1"/>
  <c r="I4" i="2"/>
  <c r="I5" i="2" s="1"/>
  <c r="I14" i="2"/>
  <c r="I26" i="2" s="1"/>
  <c r="I11" i="2"/>
  <c r="I32" i="2"/>
  <c r="I34" i="2" s="1"/>
  <c r="I7" i="2"/>
  <c r="I8" i="2" s="1"/>
  <c r="I9" i="2" s="1"/>
  <c r="I10" i="2"/>
  <c r="I37" i="11" l="1"/>
  <c r="I38" i="11" s="1"/>
  <c r="I29" i="11"/>
  <c r="I30" i="11" s="1"/>
  <c r="I24" i="11"/>
  <c r="I24" i="10"/>
  <c r="I18" i="2"/>
  <c r="I17" i="2" s="1"/>
  <c r="I19" i="2" s="1"/>
  <c r="I21" i="2" s="1"/>
  <c r="I27" i="2"/>
  <c r="I28" i="2" s="1"/>
  <c r="I29" i="2" s="1"/>
  <c r="I30" i="2" s="1"/>
  <c r="I35" i="2"/>
  <c r="I36" i="2" s="1"/>
  <c r="I37" i="2" s="1"/>
  <c r="I38" i="2" s="1"/>
  <c r="I24" i="2" l="1"/>
</calcChain>
</file>

<file path=xl/sharedStrings.xml><?xml version="1.0" encoding="utf-8"?>
<sst xmlns="http://schemas.openxmlformats.org/spreadsheetml/2006/main" count="648" uniqueCount="160">
  <si>
    <r>
      <t>ρ</t>
    </r>
    <r>
      <rPr>
        <vertAlign val="subscript"/>
        <sz val="11"/>
        <color theme="1"/>
        <rFont val="Calibri"/>
        <family val="2"/>
      </rPr>
      <t>f</t>
    </r>
  </si>
  <si>
    <r>
      <t>σ</t>
    </r>
    <r>
      <rPr>
        <vertAlign val="subscript"/>
        <sz val="12"/>
        <color theme="1"/>
        <rFont val="Calibri"/>
        <family val="2"/>
        <scheme val="minor"/>
      </rPr>
      <t>u</t>
    </r>
  </si>
  <si>
    <r>
      <t>ν</t>
    </r>
    <r>
      <rPr>
        <vertAlign val="subscript"/>
        <sz val="12"/>
        <color theme="1"/>
        <rFont val="Calibri"/>
        <family val="2"/>
        <scheme val="minor"/>
      </rPr>
      <t>f</t>
    </r>
  </si>
  <si>
    <t>Material properties</t>
  </si>
  <si>
    <t>Target dimensions</t>
  </si>
  <si>
    <t>Polyethylene</t>
  </si>
  <si>
    <t>Mpa</t>
  </si>
  <si>
    <t>dimensionless</t>
  </si>
  <si>
    <t>b</t>
  </si>
  <si>
    <t>Density</t>
  </si>
  <si>
    <t>P</t>
  </si>
  <si>
    <t>Max drop diameter</t>
  </si>
  <si>
    <t xml:space="preserve">Max drop diameter </t>
  </si>
  <si>
    <r>
      <t>d</t>
    </r>
    <r>
      <rPr>
        <vertAlign val="subscript"/>
        <sz val="11"/>
        <color theme="1"/>
        <rFont val="Calibri"/>
        <family val="2"/>
        <scheme val="minor"/>
      </rPr>
      <t>Dmax</t>
    </r>
    <r>
      <rPr>
        <sz val="11"/>
        <color theme="1"/>
        <rFont val="Calibri"/>
        <family val="2"/>
        <scheme val="minor"/>
      </rPr>
      <t xml:space="preserve"> </t>
    </r>
  </si>
  <si>
    <t>Jet velocity</t>
  </si>
  <si>
    <r>
      <rPr>
        <sz val="11"/>
        <color theme="1"/>
        <rFont val="Calibri"/>
        <family val="2"/>
      </rPr>
      <t>ν</t>
    </r>
    <r>
      <rPr>
        <vertAlign val="subscript"/>
        <sz val="11"/>
        <color theme="1"/>
        <rFont val="Calibri"/>
        <family val="2"/>
      </rPr>
      <t>jet</t>
    </r>
  </si>
  <si>
    <t>m/s</t>
  </si>
  <si>
    <t>μm</t>
  </si>
  <si>
    <r>
      <t>d</t>
    </r>
    <r>
      <rPr>
        <vertAlign val="subscript"/>
        <sz val="11"/>
        <color theme="1"/>
        <rFont val="Calibri"/>
        <family val="2"/>
        <scheme val="minor"/>
      </rPr>
      <t>DS</t>
    </r>
  </si>
  <si>
    <t>№</t>
  </si>
  <si>
    <r>
      <t>Orifice diameter d</t>
    </r>
    <r>
      <rPr>
        <b/>
        <vertAlign val="subscript"/>
        <sz val="11"/>
        <color theme="1"/>
        <rFont val="Calibri"/>
        <family val="2"/>
        <scheme val="minor"/>
      </rPr>
      <t xml:space="preserve">N </t>
    </r>
    <r>
      <rPr>
        <b/>
        <sz val="11"/>
        <color theme="1"/>
        <rFont val="Calibri"/>
        <family val="2"/>
        <scheme val="minor"/>
      </rPr>
      <t>=0.4mm</t>
    </r>
  </si>
  <si>
    <t xml:space="preserve">Sauter diameter
(water drop) </t>
  </si>
  <si>
    <t>Sauter diameter</t>
  </si>
  <si>
    <t>Outputs</t>
  </si>
  <si>
    <t>a</t>
  </si>
  <si>
    <r>
      <t>ν</t>
    </r>
    <r>
      <rPr>
        <vertAlign val="subscript"/>
        <sz val="11"/>
        <color theme="1"/>
        <rFont val="Calibri"/>
        <family val="2"/>
      </rPr>
      <t>jet</t>
    </r>
    <r>
      <rPr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</rPr>
      <t>(m/s)</t>
    </r>
  </si>
  <si>
    <r>
      <t>d</t>
    </r>
    <r>
      <rPr>
        <vertAlign val="subscript"/>
        <sz val="11"/>
        <color theme="1"/>
        <rFont val="Calibri"/>
        <family val="2"/>
        <scheme val="minor"/>
      </rPr>
      <t>Dmax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(μm)</t>
    </r>
  </si>
  <si>
    <t>Power function curve y=a*x^b</t>
  </si>
  <si>
    <r>
      <t>d</t>
    </r>
    <r>
      <rPr>
        <vertAlign val="subscript"/>
        <sz val="11"/>
        <color theme="1"/>
        <rFont val="Calibri"/>
        <family val="2"/>
        <scheme val="minor"/>
      </rPr>
      <t xml:space="preserve">DS </t>
    </r>
    <r>
      <rPr>
        <i/>
        <sz val="11"/>
        <color theme="1"/>
        <rFont val="Calibri"/>
        <family val="2"/>
        <scheme val="minor"/>
      </rPr>
      <t>(μm)</t>
    </r>
  </si>
  <si>
    <t>Density fluid</t>
  </si>
  <si>
    <t>Steel</t>
  </si>
  <si>
    <t>Speed of sound</t>
  </si>
  <si>
    <r>
      <t>C</t>
    </r>
    <r>
      <rPr>
        <vertAlign val="subscript"/>
        <sz val="11"/>
        <color theme="1"/>
        <rFont val="Calibri"/>
        <family val="2"/>
        <scheme val="minor"/>
      </rPr>
      <t>L</t>
    </r>
  </si>
  <si>
    <r>
      <t>ρ</t>
    </r>
    <r>
      <rPr>
        <vertAlign val="subscript"/>
        <sz val="11"/>
        <color theme="1"/>
        <rFont val="Calibri"/>
        <family val="2"/>
      </rPr>
      <t>L</t>
    </r>
  </si>
  <si>
    <t>-</t>
  </si>
  <si>
    <t>Endurance limit</t>
  </si>
  <si>
    <t>Ultimate tensile strength</t>
  </si>
  <si>
    <t>Poisson's ratio</t>
  </si>
  <si>
    <r>
      <t>C</t>
    </r>
    <r>
      <rPr>
        <vertAlign val="subscript"/>
        <sz val="12"/>
        <color theme="1"/>
        <rFont val="Calibri"/>
        <family val="2"/>
        <scheme val="minor"/>
      </rPr>
      <t>f</t>
    </r>
  </si>
  <si>
    <t>μ</t>
  </si>
  <si>
    <t>Q</t>
  </si>
  <si>
    <t>v</t>
  </si>
  <si>
    <t>θ</t>
  </si>
  <si>
    <t>Pump pressure</t>
  </si>
  <si>
    <r>
      <t>P</t>
    </r>
    <r>
      <rPr>
        <vertAlign val="subscript"/>
        <sz val="11"/>
        <color theme="1"/>
        <rFont val="Calibri"/>
        <family val="2"/>
        <scheme val="minor"/>
      </rPr>
      <t>pump</t>
    </r>
  </si>
  <si>
    <r>
      <t>kg/m</t>
    </r>
    <r>
      <rPr>
        <vertAlign val="superscript"/>
        <sz val="11"/>
        <color theme="1"/>
        <rFont val="Calibri"/>
        <family val="2"/>
        <scheme val="minor"/>
      </rPr>
      <t>3</t>
    </r>
  </si>
  <si>
    <t>Normal impact angle</t>
  </si>
  <si>
    <t>degrees</t>
  </si>
  <si>
    <t>Strength</t>
  </si>
  <si>
    <t>S</t>
  </si>
  <si>
    <t>Incubation period check</t>
  </si>
  <si>
    <t>t</t>
  </si>
  <si>
    <t>s</t>
  </si>
  <si>
    <t>impact/m2</t>
  </si>
  <si>
    <t>(S/P)&gt;8</t>
  </si>
  <si>
    <t>Material</t>
  </si>
  <si>
    <t>Units</t>
  </si>
  <si>
    <t>INPUT</t>
  </si>
  <si>
    <t>Material of construction incubation</t>
  </si>
  <si>
    <t>Fouling material incubation</t>
  </si>
  <si>
    <t>impacts/m2</t>
  </si>
  <si>
    <t>Average drop diameter</t>
  </si>
  <si>
    <r>
      <t>d</t>
    </r>
    <r>
      <rPr>
        <vertAlign val="subscript"/>
        <sz val="11"/>
        <color theme="1"/>
        <rFont val="Calibri"/>
        <family val="2"/>
      </rPr>
      <t>DS</t>
    </r>
  </si>
  <si>
    <t>Number of impacts in incub period</t>
  </si>
  <si>
    <t>Duration of incub period</t>
  </si>
  <si>
    <t>kg/Impact</t>
  </si>
  <si>
    <t>Volume of avg drop diam</t>
  </si>
  <si>
    <r>
      <t>Vd</t>
    </r>
    <r>
      <rPr>
        <vertAlign val="subscript"/>
        <sz val="11"/>
        <color theme="1"/>
        <rFont val="Calibri"/>
        <family val="2"/>
      </rPr>
      <t>DS</t>
    </r>
  </si>
  <si>
    <r>
      <t>μm</t>
    </r>
    <r>
      <rPr>
        <vertAlign val="superscript"/>
        <sz val="11"/>
        <color theme="1"/>
        <rFont val="Calibri"/>
        <family val="2"/>
      </rPr>
      <t>3</t>
    </r>
  </si>
  <si>
    <t>l/m</t>
  </si>
  <si>
    <t>Mass loss per impact</t>
  </si>
  <si>
    <t>impacts/s</t>
  </si>
  <si>
    <t>Waterjet and Pump setup</t>
  </si>
  <si>
    <t>kg/s</t>
  </si>
  <si>
    <t>Titanium</t>
  </si>
  <si>
    <t>m</t>
  </si>
  <si>
    <r>
      <t>h</t>
    </r>
    <r>
      <rPr>
        <vertAlign val="subscript"/>
        <sz val="11"/>
        <color theme="1"/>
        <rFont val="Calibri"/>
        <family val="2"/>
      </rPr>
      <t>c</t>
    </r>
  </si>
  <si>
    <t>kg</t>
  </si>
  <si>
    <t>Thickness</t>
  </si>
  <si>
    <r>
      <t>x</t>
    </r>
    <r>
      <rPr>
        <vertAlign val="subscript"/>
        <sz val="11"/>
        <color theme="1"/>
        <rFont val="Calibri"/>
        <family val="2"/>
      </rPr>
      <t>c</t>
    </r>
  </si>
  <si>
    <t>Water Hammer</t>
  </si>
  <si>
    <t>Flow per orifice</t>
  </si>
  <si>
    <t>Water properties</t>
  </si>
  <si>
    <t>Symbol</t>
  </si>
  <si>
    <t>Value</t>
  </si>
  <si>
    <t>Unit</t>
  </si>
  <si>
    <t>Fatigue constant</t>
  </si>
  <si>
    <t>Optimal traverse speed</t>
  </si>
  <si>
    <t>Jetting area</t>
  </si>
  <si>
    <t>Jetting area diameter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</si>
  <si>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</si>
  <si>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A</t>
    </r>
    <r>
      <rPr>
        <vertAlign val="subscript"/>
        <sz val="11"/>
        <color theme="1"/>
        <rFont val="Calibri"/>
        <family val="2"/>
      </rPr>
      <t>c</t>
    </r>
  </si>
  <si>
    <r>
      <t>A</t>
    </r>
    <r>
      <rPr>
        <vertAlign val="subscript"/>
        <sz val="11"/>
        <color theme="1"/>
        <rFont val="Calibri"/>
        <family val="2"/>
        <scheme val="minor"/>
      </rPr>
      <t>j</t>
    </r>
  </si>
  <si>
    <t>Mass removed total</t>
  </si>
  <si>
    <t>Time needed total</t>
  </si>
  <si>
    <r>
      <t>V</t>
    </r>
    <r>
      <rPr>
        <vertAlign val="subscript"/>
        <sz val="11"/>
        <color theme="1"/>
        <rFont val="Calibri"/>
        <family val="2"/>
      </rPr>
      <t>noz</t>
    </r>
  </si>
  <si>
    <r>
      <t>M</t>
    </r>
    <r>
      <rPr>
        <vertAlign val="subscript"/>
        <sz val="11"/>
        <color theme="1"/>
        <rFont val="Calibri"/>
        <family val="2"/>
      </rPr>
      <t>tot</t>
    </r>
  </si>
  <si>
    <r>
      <t>σ</t>
    </r>
    <r>
      <rPr>
        <i/>
        <vertAlign val="subscript"/>
        <sz val="12"/>
        <color theme="1"/>
        <rFont val="Calibri"/>
        <family val="2"/>
        <scheme val="minor"/>
      </rPr>
      <t>i</t>
    </r>
  </si>
  <si>
    <r>
      <t>m</t>
    </r>
    <r>
      <rPr>
        <vertAlign val="subscript"/>
        <sz val="11"/>
        <color theme="1"/>
        <rFont val="Calibri"/>
        <family val="2"/>
        <scheme val="minor"/>
      </rPr>
      <t>sec</t>
    </r>
  </si>
  <si>
    <r>
      <t>t</t>
    </r>
    <r>
      <rPr>
        <vertAlign val="subscript"/>
        <sz val="11"/>
        <color theme="1"/>
        <rFont val="Calibri"/>
        <family val="2"/>
      </rPr>
      <t>tot</t>
    </r>
  </si>
  <si>
    <t>Diameter of orifice</t>
  </si>
  <si>
    <r>
      <t>d</t>
    </r>
    <r>
      <rPr>
        <vertAlign val="subscript"/>
        <sz val="11"/>
        <color theme="1"/>
        <rFont val="Calibri"/>
        <family val="2"/>
        <scheme val="minor"/>
      </rPr>
      <t>N</t>
    </r>
  </si>
  <si>
    <t>mm</t>
  </si>
  <si>
    <t>Area of orifice</t>
  </si>
  <si>
    <r>
      <t>mm</t>
    </r>
    <r>
      <rPr>
        <vertAlign val="superscript"/>
        <sz val="11"/>
        <color theme="1"/>
        <rFont val="Calibri"/>
        <family val="2"/>
        <scheme val="minor"/>
      </rPr>
      <t>2</t>
    </r>
  </si>
  <si>
    <t>Area required</t>
  </si>
  <si>
    <t>Minimum orifices</t>
  </si>
  <si>
    <t>Or</t>
  </si>
  <si>
    <r>
      <t>A</t>
    </r>
    <r>
      <rPr>
        <vertAlign val="subscript"/>
        <sz val="11"/>
        <color theme="1"/>
        <rFont val="Calibri"/>
        <family val="2"/>
        <scheme val="minor"/>
      </rPr>
      <t>req</t>
    </r>
  </si>
  <si>
    <r>
      <t>A</t>
    </r>
    <r>
      <rPr>
        <vertAlign val="subscript"/>
        <sz val="11"/>
        <color theme="1"/>
        <rFont val="Calibri"/>
        <family val="2"/>
        <scheme val="minor"/>
      </rPr>
      <t>Or</t>
    </r>
  </si>
  <si>
    <r>
      <t>Q</t>
    </r>
    <r>
      <rPr>
        <vertAlign val="subscript"/>
        <sz val="11"/>
        <color theme="1"/>
        <rFont val="Calibri"/>
        <family val="2"/>
        <scheme val="minor"/>
      </rPr>
      <t>or</t>
    </r>
  </si>
  <si>
    <t>Mass loss per Orifice</t>
  </si>
  <si>
    <t>Overall fouling area per orifice</t>
  </si>
  <si>
    <t>Maximum flow per orifice</t>
  </si>
  <si>
    <r>
      <t>Q</t>
    </r>
    <r>
      <rPr>
        <vertAlign val="subscript"/>
        <sz val="11"/>
        <color theme="1"/>
        <rFont val="Calibri"/>
        <family val="2"/>
        <scheme val="minor"/>
      </rPr>
      <t>max</t>
    </r>
  </si>
  <si>
    <t>Pump efficiency parameter</t>
  </si>
  <si>
    <t>Dimensionless</t>
  </si>
  <si>
    <t>Pressure at nozzle</t>
  </si>
  <si>
    <r>
      <t>P</t>
    </r>
    <r>
      <rPr>
        <vertAlign val="subscript"/>
        <sz val="11"/>
        <color theme="1"/>
        <rFont val="Calibri"/>
        <family val="2"/>
        <scheme val="minor"/>
      </rPr>
      <t>noz</t>
    </r>
  </si>
  <si>
    <t>Losses in line</t>
  </si>
  <si>
    <t>Nozzle efficiency parameter</t>
  </si>
  <si>
    <t>Shard Edged (0.61)</t>
  </si>
  <si>
    <t>Rounded (0.98)</t>
  </si>
  <si>
    <t>Short Tube (0.8)</t>
  </si>
  <si>
    <t>Reverse Tube (0.51)</t>
  </si>
  <si>
    <t>C</t>
  </si>
  <si>
    <t>Type</t>
  </si>
  <si>
    <t>Strength and Impact</t>
  </si>
  <si>
    <t>Stress at surface (construction mat)</t>
  </si>
  <si>
    <t>Strength (construciton mat)</t>
  </si>
  <si>
    <t>h</t>
  </si>
  <si>
    <t>impacts</t>
  </si>
  <si>
    <t>Impacts in incub period for the area</t>
  </si>
  <si>
    <t>Magnesium Oxide</t>
  </si>
  <si>
    <t>Custom</t>
  </si>
  <si>
    <t>Copper</t>
  </si>
  <si>
    <t>Fouling material</t>
  </si>
  <si>
    <t>Choose the material from the list:</t>
  </si>
  <si>
    <t>Construction material</t>
  </si>
  <si>
    <t>Fouling materials</t>
  </si>
  <si>
    <t>Construction materials</t>
  </si>
  <si>
    <t>Orifice type</t>
  </si>
  <si>
    <r>
      <t>n</t>
    </r>
    <r>
      <rPr>
        <vertAlign val="subscript"/>
        <sz val="11"/>
        <color theme="1"/>
        <rFont val="Calibri"/>
        <family val="2"/>
        <scheme val="minor"/>
      </rPr>
      <t>area</t>
    </r>
  </si>
  <si>
    <r>
      <t>n</t>
    </r>
    <r>
      <rPr>
        <vertAlign val="subscript"/>
        <sz val="11"/>
        <color theme="1"/>
        <rFont val="Calibri"/>
        <family val="2"/>
        <scheme val="minor"/>
      </rPr>
      <t>in</t>
    </r>
  </si>
  <si>
    <r>
      <t>n</t>
    </r>
    <r>
      <rPr>
        <vertAlign val="subscript"/>
        <sz val="11"/>
        <color theme="1"/>
        <rFont val="Calibri"/>
        <family val="2"/>
        <scheme val="minor"/>
      </rPr>
      <t>imp</t>
    </r>
  </si>
  <si>
    <t>Total flow</t>
  </si>
  <si>
    <t>Jet Velocity</t>
  </si>
  <si>
    <t>Impact pressure (stress at surface)</t>
  </si>
  <si>
    <r>
      <t>ψ</t>
    </r>
    <r>
      <rPr>
        <vertAlign val="subscript"/>
        <sz val="11"/>
        <color theme="1"/>
        <rFont val="Calibri"/>
        <family val="2"/>
        <scheme val="minor"/>
      </rPr>
      <t>line</t>
    </r>
  </si>
  <si>
    <r>
      <t>ψ</t>
    </r>
    <r>
      <rPr>
        <vertAlign val="subscript"/>
        <sz val="11"/>
        <color theme="1"/>
        <rFont val="Calibri"/>
        <family val="2"/>
        <scheme val="minor"/>
      </rPr>
      <t>pump</t>
    </r>
  </si>
  <si>
    <r>
      <t>P</t>
    </r>
    <r>
      <rPr>
        <vertAlign val="subscript"/>
        <sz val="11"/>
        <color theme="1"/>
        <rFont val="Calibri"/>
        <family val="2"/>
        <scheme val="minor"/>
      </rPr>
      <t>wh</t>
    </r>
  </si>
  <si>
    <r>
      <t>ρ</t>
    </r>
    <r>
      <rPr>
        <vertAlign val="subscript"/>
        <sz val="11"/>
        <color theme="1"/>
        <rFont val="Calibri"/>
        <family val="2"/>
      </rPr>
      <t>f or s</t>
    </r>
  </si>
  <si>
    <r>
      <t>ν</t>
    </r>
    <r>
      <rPr>
        <vertAlign val="subscript"/>
        <sz val="12"/>
        <color theme="1"/>
        <rFont val="Calibri"/>
        <family val="2"/>
        <scheme val="minor"/>
      </rPr>
      <t>f or s</t>
    </r>
    <r>
      <rPr>
        <sz val="12"/>
        <color theme="1"/>
        <rFont val="Calibri"/>
        <family val="2"/>
        <scheme val="minor"/>
      </rPr>
      <t xml:space="preserve"> </t>
    </r>
  </si>
  <si>
    <r>
      <t>C</t>
    </r>
    <r>
      <rPr>
        <vertAlign val="subscript"/>
        <sz val="12"/>
        <color theme="1"/>
        <rFont val="Calibri"/>
        <family val="2"/>
        <scheme val="minor"/>
      </rPr>
      <t>f or s</t>
    </r>
  </si>
  <si>
    <t>Time needed per section (cycle)</t>
  </si>
  <si>
    <t>Mass removed per section (cycle)</t>
  </si>
  <si>
    <t>Impacts per second in section</t>
  </si>
  <si>
    <t>Mass loss in section per second</t>
  </si>
  <si>
    <t>Choose the type of orifice from the list:</t>
  </si>
  <si>
    <t>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</si>
</sst>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i/>
      <sz val="12"/>
      <color theme="1"/>
      <name val="Calibri"/>
      <family val="2"/>
      <scheme val="minor"/>
    </font>
    <font>
      <i/>
      <vertAlign val="subscript"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4" borderId="1" xfId="0" applyFill="1" applyBorder="1"/>
    <xf numFmtId="0" fontId="0" fillId="3" borderId="9" xfId="0" applyFill="1" applyBorder="1"/>
    <xf numFmtId="0" fontId="0" fillId="3" borderId="11" xfId="0" applyFill="1" applyBorder="1"/>
    <xf numFmtId="0" fontId="0" fillId="0" borderId="12" xfId="0" applyBorder="1"/>
    <xf numFmtId="0" fontId="0" fillId="4" borderId="12" xfId="0" applyFill="1" applyBorder="1"/>
    <xf numFmtId="0" fontId="2" fillId="3" borderId="1" xfId="0" applyFont="1" applyFill="1" applyBorder="1"/>
    <xf numFmtId="0" fontId="0" fillId="3" borderId="10" xfId="0" applyFill="1" applyBorder="1"/>
    <xf numFmtId="0" fontId="11" fillId="2" borderId="2" xfId="0" applyFont="1" applyFill="1" applyBorder="1"/>
    <xf numFmtId="0" fontId="11" fillId="2" borderId="14" xfId="0" applyFont="1" applyFill="1" applyBorder="1"/>
    <xf numFmtId="0" fontId="2" fillId="0" borderId="1" xfId="0" applyFont="1" applyBorder="1"/>
    <xf numFmtId="0" fontId="1" fillId="4" borderId="1" xfId="0" applyFont="1" applyFill="1" applyBorder="1"/>
    <xf numFmtId="0" fontId="2" fillId="4" borderId="1" xfId="0" applyFont="1" applyFill="1" applyBorder="1"/>
    <xf numFmtId="0" fontId="13" fillId="5" borderId="1" xfId="0" applyFont="1" applyFill="1" applyBorder="1"/>
    <xf numFmtId="0" fontId="10" fillId="3" borderId="1" xfId="0" applyFont="1" applyFill="1" applyBorder="1"/>
    <xf numFmtId="0" fontId="15" fillId="4" borderId="1" xfId="0" applyFont="1" applyFill="1" applyBorder="1"/>
    <xf numFmtId="0" fontId="0" fillId="0" borderId="16" xfId="0" applyBorder="1"/>
    <xf numFmtId="0" fontId="0" fillId="0" borderId="10" xfId="0" applyBorder="1"/>
    <xf numFmtId="0" fontId="0" fillId="0" borderId="13" xfId="0" applyBorder="1"/>
    <xf numFmtId="0" fontId="10" fillId="6" borderId="11" xfId="0" applyFont="1" applyFill="1" applyBorder="1"/>
    <xf numFmtId="0" fontId="15" fillId="6" borderId="12" xfId="0" applyFont="1" applyFill="1" applyBorder="1"/>
    <xf numFmtId="0" fontId="10" fillId="6" borderId="12" xfId="0" applyFont="1" applyFill="1" applyBorder="1"/>
    <xf numFmtId="0" fontId="10" fillId="6" borderId="12" xfId="0" applyFont="1" applyFill="1" applyBorder="1" applyAlignment="1">
      <alignment horizontal="center"/>
    </xf>
    <xf numFmtId="0" fontId="10" fillId="6" borderId="13" xfId="0" applyFont="1" applyFill="1" applyBorder="1"/>
    <xf numFmtId="0" fontId="0" fillId="7" borderId="1" xfId="0" applyFill="1" applyBorder="1"/>
    <xf numFmtId="0" fontId="0" fillId="0" borderId="19" xfId="0" applyBorder="1"/>
    <xf numFmtId="0" fontId="0" fillId="3" borderId="20" xfId="0" applyFill="1" applyBorder="1"/>
    <xf numFmtId="0" fontId="18" fillId="7" borderId="1" xfId="0" applyFont="1" applyFill="1" applyBorder="1"/>
    <xf numFmtId="0" fontId="17" fillId="7" borderId="1" xfId="0" applyFont="1" applyFill="1" applyBorder="1"/>
    <xf numFmtId="0" fontId="13" fillId="5" borderId="9" xfId="0" applyFont="1" applyFill="1" applyBorder="1"/>
    <xf numFmtId="0" fontId="13" fillId="5" borderId="10" xfId="0" applyFont="1" applyFill="1" applyBorder="1"/>
    <xf numFmtId="0" fontId="0" fillId="6" borderId="12" xfId="0" applyFill="1" applyBorder="1"/>
    <xf numFmtId="0" fontId="0" fillId="6" borderId="12" xfId="0" applyFill="1" applyBorder="1" applyAlignment="1">
      <alignment horizontal="center"/>
    </xf>
    <xf numFmtId="0" fontId="1" fillId="4" borderId="12" xfId="0" applyFont="1" applyFill="1" applyBorder="1"/>
    <xf numFmtId="0" fontId="17" fillId="5" borderId="7" xfId="0" applyFont="1" applyFill="1" applyBorder="1"/>
    <xf numFmtId="0" fontId="10" fillId="3" borderId="10" xfId="0" applyFont="1" applyFill="1" applyBorder="1"/>
    <xf numFmtId="0" fontId="0" fillId="0" borderId="15" xfId="0" applyBorder="1"/>
    <xf numFmtId="0" fontId="0" fillId="0" borderId="29" xfId="0" applyBorder="1"/>
    <xf numFmtId="0" fontId="0" fillId="0" borderId="30" xfId="0" applyBorder="1"/>
    <xf numFmtId="0" fontId="10" fillId="0" borderId="10" xfId="0" applyFont="1" applyBorder="1"/>
    <xf numFmtId="0" fontId="0" fillId="3" borderId="31" xfId="0" applyFill="1" applyBorder="1"/>
    <xf numFmtId="0" fontId="1" fillId="4" borderId="19" xfId="0" applyFont="1" applyFill="1" applyBorder="1"/>
    <xf numFmtId="0" fontId="0" fillId="0" borderId="32" xfId="0" applyBorder="1"/>
    <xf numFmtId="0" fontId="0" fillId="8" borderId="1" xfId="0" applyFill="1" applyBorder="1"/>
    <xf numFmtId="0" fontId="17" fillId="7" borderId="5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left"/>
    </xf>
    <xf numFmtId="0" fontId="17" fillId="5" borderId="17" xfId="0" applyFont="1" applyFill="1" applyBorder="1" applyAlignment="1">
      <alignment horizontal="center" vertical="center"/>
    </xf>
    <xf numFmtId="0" fontId="17" fillId="5" borderId="21" xfId="0" applyFont="1" applyFill="1" applyBorder="1" applyAlignment="1">
      <alignment horizontal="center" vertical="center"/>
    </xf>
    <xf numFmtId="0" fontId="17" fillId="5" borderId="22" xfId="0" applyFont="1" applyFill="1" applyBorder="1" applyAlignment="1">
      <alignment horizontal="center" vertical="center"/>
    </xf>
    <xf numFmtId="0" fontId="17" fillId="5" borderId="18" xfId="0" applyFont="1" applyFill="1" applyBorder="1" applyAlignment="1">
      <alignment horizontal="center" vertical="center"/>
    </xf>
    <xf numFmtId="0" fontId="17" fillId="5" borderId="23" xfId="0" applyFont="1" applyFill="1" applyBorder="1" applyAlignment="1">
      <alignment horizontal="center"/>
    </xf>
    <xf numFmtId="0" fontId="17" fillId="5" borderId="24" xfId="0" applyFont="1" applyFill="1" applyBorder="1" applyAlignment="1">
      <alignment horizontal="center"/>
    </xf>
    <xf numFmtId="0" fontId="17" fillId="5" borderId="25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0" fillId="3" borderId="2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8" fillId="4" borderId="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7" fillId="5" borderId="28" xfId="0" applyFont="1" applyFill="1" applyBorder="1" applyAlignment="1">
      <alignment horizontal="center"/>
    </xf>
    <xf numFmtId="0" fontId="17" fillId="5" borderId="15" xfId="0" applyFont="1" applyFill="1" applyBorder="1" applyAlignment="1">
      <alignment horizontal="center"/>
    </xf>
    <xf numFmtId="0" fontId="19" fillId="5" borderId="23" xfId="0" applyFont="1" applyFill="1" applyBorder="1" applyAlignment="1">
      <alignment horizontal="center"/>
    </xf>
    <xf numFmtId="0" fontId="19" fillId="5" borderId="24" xfId="0" applyFont="1" applyFill="1" applyBorder="1" applyAlignment="1">
      <alignment horizontal="center"/>
    </xf>
    <xf numFmtId="0" fontId="0" fillId="0" borderId="0" xfId="0" applyBorder="1"/>
    <xf numFmtId="0" fontId="19" fillId="5" borderId="25" xfId="0" applyFont="1" applyFill="1" applyBorder="1" applyAlignment="1">
      <alignment horizontal="center"/>
    </xf>
    <xf numFmtId="0" fontId="17" fillId="5" borderId="33" xfId="0" applyFont="1" applyFill="1" applyBorder="1" applyAlignment="1">
      <alignment horizontal="center"/>
    </xf>
    <xf numFmtId="0" fontId="17" fillId="5" borderId="26" xfId="0" applyFont="1" applyFill="1" applyBorder="1" applyAlignment="1">
      <alignment horizontal="center"/>
    </xf>
    <xf numFmtId="0" fontId="17" fillId="5" borderId="34" xfId="0" applyFont="1" applyFill="1" applyBorder="1" applyAlignment="1">
      <alignment horizontal="center"/>
    </xf>
    <xf numFmtId="0" fontId="17" fillId="5" borderId="27" xfId="0" applyFont="1" applyFill="1" applyBorder="1" applyAlignment="1">
      <alignment horizontal="center"/>
    </xf>
    <xf numFmtId="164" fontId="0" fillId="0" borderId="1" xfId="0" applyNumberFormat="1" applyBorder="1"/>
    <xf numFmtId="164" fontId="0" fillId="0" borderId="12" xfId="0" applyNumberFormat="1" applyBorder="1"/>
    <xf numFmtId="164" fontId="0" fillId="0" borderId="19" xfId="0" applyNumberFormat="1" applyBorder="1"/>
    <xf numFmtId="0" fontId="0" fillId="0" borderId="1" xfId="0" applyNumberFormat="1" applyBorder="1"/>
    <xf numFmtId="0" fontId="0" fillId="0" borderId="19" xfId="0" applyNumberFormat="1" applyBorder="1"/>
    <xf numFmtId="0" fontId="0" fillId="8" borderId="1" xfId="0" applyNumberFormat="1" applyFill="1" applyBorder="1"/>
    <xf numFmtId="0" fontId="0" fillId="0" borderId="12" xfId="0" applyNumberFormat="1" applyBorder="1"/>
    <xf numFmtId="164" fontId="0" fillId="0" borderId="1" xfId="0" applyNumberFormat="1" applyFont="1" applyBorder="1"/>
    <xf numFmtId="0" fontId="0" fillId="0" borderId="20" xfId="0" applyBorder="1"/>
    <xf numFmtId="0" fontId="0" fillId="0" borderId="35" xfId="0" applyBorder="1"/>
    <xf numFmtId="0" fontId="0" fillId="0" borderId="36" xfId="0" applyBorder="1"/>
    <xf numFmtId="0" fontId="6" fillId="0" borderId="37" xfId="0" applyFont="1" applyBorder="1"/>
    <xf numFmtId="0" fontId="0" fillId="0" borderId="33" xfId="0" applyBorder="1" applyAlignment="1">
      <alignment wrapText="1"/>
    </xf>
    <xf numFmtId="164" fontId="0" fillId="0" borderId="0" xfId="0" applyNumberFormat="1" applyBorder="1"/>
  </cellXfs>
  <cellStyles count="1">
    <cellStyle name="Normal" xfId="0" builtinId="0"/>
  </cellStyles>
  <dxfs count="42">
    <dxf>
      <fill>
        <patternFill patternType="solid">
          <fgColor indexed="64"/>
          <bgColor theme="7" tint="0.59999389629810485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9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9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ill>
        <patternFill patternType="solid">
          <fgColor indexed="64"/>
          <bgColor theme="7" tint="0.59999389629810485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9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9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outline="0">
        <top style="medium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7" tint="0.59999389629810485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9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9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10/relationships/person" Target="persons/person0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microsoft.com/office/2017/10/relationships/person" Target="persons/pers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Relationship Id="rId14" Type="http://schemas.microsoft.com/office/2017/10/relationships/person" Target="persons/pers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Max drop diameter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backward val="160"/>
            <c:dispRSqr val="1"/>
            <c:dispEq val="1"/>
            <c:trendlineLbl>
              <c:layout>
                <c:manualLayout>
                  <c:x val="-0.38923478345126067"/>
                  <c:y val="-0.19632915170163945"/>
                </c:manualLayout>
              </c:layout>
              <c:numFmt formatCode="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'Orifice - 0.4 mm'!$B$5:$B$11</c:f>
              <c:numCache>
                <c:formatCode>General</c:formatCode>
                <c:ptCount val="7"/>
                <c:pt idx="0">
                  <c:v>800</c:v>
                </c:pt>
                <c:pt idx="1">
                  <c:v>752.71</c:v>
                </c:pt>
                <c:pt idx="2">
                  <c:v>685.71</c:v>
                </c:pt>
                <c:pt idx="3">
                  <c:v>614.78</c:v>
                </c:pt>
                <c:pt idx="4">
                  <c:v>532.02</c:v>
                </c:pt>
                <c:pt idx="5">
                  <c:v>431.53</c:v>
                </c:pt>
                <c:pt idx="6">
                  <c:v>307.39</c:v>
                </c:pt>
              </c:numCache>
            </c:numRef>
          </c:xVal>
          <c:yVal>
            <c:numRef>
              <c:f>'Orifice - 0.4 mm'!$D$5:$D$11</c:f>
              <c:numCache>
                <c:formatCode>General</c:formatCode>
                <c:ptCount val="7"/>
                <c:pt idx="0">
                  <c:v>2.536</c:v>
                </c:pt>
                <c:pt idx="1">
                  <c:v>2.7709999999999999</c:v>
                </c:pt>
                <c:pt idx="2">
                  <c:v>3.302</c:v>
                </c:pt>
                <c:pt idx="3">
                  <c:v>4.01</c:v>
                </c:pt>
                <c:pt idx="4">
                  <c:v>5.5430000000000001</c:v>
                </c:pt>
                <c:pt idx="5">
                  <c:v>8.43</c:v>
                </c:pt>
                <c:pt idx="6">
                  <c:v>16.63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BDD-4335-95D3-022B0789C4E6}"/>
            </c:ext>
          </c:extLst>
        </c:ser>
        <c:ser>
          <c:idx val="1"/>
          <c:order val="1"/>
          <c:tx>
            <c:v>Sauter diameter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lumMod val="75000"/>
                </a:schemeClr>
              </a:solidFill>
              <a:ln w="25400">
                <a:solidFill>
                  <a:schemeClr val="accent1">
                    <a:lumMod val="50000"/>
                  </a:schemeClr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0.6478061362204961"/>
                  <c:y val="-3.2957363822539644E-2"/>
                </c:manualLayout>
              </c:layout>
              <c:numFmt formatCode="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'Orifice - 0.4 mm'!$B$14:$B$20</c:f>
              <c:numCache>
                <c:formatCode>General</c:formatCode>
                <c:ptCount val="7"/>
                <c:pt idx="0">
                  <c:v>800</c:v>
                </c:pt>
                <c:pt idx="1">
                  <c:v>600</c:v>
                </c:pt>
                <c:pt idx="2">
                  <c:v>500</c:v>
                </c:pt>
                <c:pt idx="3">
                  <c:v>400</c:v>
                </c:pt>
                <c:pt idx="4">
                  <c:v>300</c:v>
                </c:pt>
                <c:pt idx="5">
                  <c:v>200</c:v>
                </c:pt>
                <c:pt idx="6">
                  <c:v>100</c:v>
                </c:pt>
              </c:numCache>
            </c:numRef>
          </c:xVal>
          <c:yVal>
            <c:numRef>
              <c:f>'Orifice - 0.4 mm'!$D$14:$D$20</c:f>
              <c:numCache>
                <c:formatCode>General</c:formatCode>
                <c:ptCount val="7"/>
                <c:pt idx="0">
                  <c:v>2.536</c:v>
                </c:pt>
                <c:pt idx="1">
                  <c:v>3.597</c:v>
                </c:pt>
                <c:pt idx="2">
                  <c:v>4.3049999999999997</c:v>
                </c:pt>
                <c:pt idx="3">
                  <c:v>5.3659999999999997</c:v>
                </c:pt>
                <c:pt idx="4">
                  <c:v>7.1349999999999998</c:v>
                </c:pt>
                <c:pt idx="5">
                  <c:v>11.026999999999999</c:v>
                </c:pt>
                <c:pt idx="6">
                  <c:v>22.053999999999998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BDD-4335-95D3-022B0789C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825391"/>
        <c:axId val="243825807"/>
      </c:scatterChart>
      <c:valAx>
        <c:axId val="243825391"/>
        <c:scaling>
          <c:orientation val="minMax"/>
          <c:max val="800"/>
        </c:scaling>
        <c:delete val="0"/>
        <c:axPos val="b"/>
        <c:majorGridlines>
          <c:spPr>
            <a:ln w="9525" cap="flat" cmpd="sng" algn="ctr">
              <a:solidFill>
                <a:schemeClr val="accent1">
                  <a:alpha val="97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aseline="0"/>
                  <a:t>Jet velocity </a:t>
                </a:r>
                <a:r>
                  <a:rPr lang="en-US" sz="1400" i="1" baseline="0"/>
                  <a:t>(m/s)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825807"/>
        <c:crosses val="autoZero"/>
        <c:crossBetween val="midCat"/>
      </c:valAx>
      <c:valAx>
        <c:axId val="2438258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aseline="0"/>
                  <a:t>Drop diameter (</a:t>
                </a:r>
                <a:r>
                  <a:rPr lang="el-GR" sz="1400" i="1" baseline="0"/>
                  <a:t>μ</a:t>
                </a:r>
                <a:r>
                  <a:rPr lang="en-US" sz="1400" i="1" baseline="0"/>
                  <a:t>m)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82539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266700</xdr:colOff>
      <xdr:row>14</xdr:row>
      <xdr:rowOff>45720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183738F-D7CC-3D33-7B1B-B44790E10534}"/>
            </a:ext>
          </a:extLst>
        </xdr:cNvPr>
        <xdr:cNvSpPr txBox="1"/>
      </xdr:nvSpPr>
      <xdr:spPr>
        <a:xfrm>
          <a:off x="6629400" y="26060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13</xdr:col>
      <xdr:colOff>443346</xdr:colOff>
      <xdr:row>9</xdr:row>
      <xdr:rowOff>193964</xdr:rowOff>
    </xdr:from>
    <xdr:to>
      <xdr:col>17</xdr:col>
      <xdr:colOff>551413</xdr:colOff>
      <xdr:row>20</xdr:row>
      <xdr:rowOff>157249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545C9F3-29BC-C75A-C429-4DB4AD922A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00619" y="2202873"/>
          <a:ext cx="3931920" cy="22631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266700</xdr:colOff>
      <xdr:row>14</xdr:row>
      <xdr:rowOff>45720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7D5EA9D-FBFC-403B-B42D-DEAE37A2D854}"/>
            </a:ext>
          </a:extLst>
        </xdr:cNvPr>
        <xdr:cNvSpPr txBox="1"/>
      </xdr:nvSpPr>
      <xdr:spPr>
        <a:xfrm>
          <a:off x="6332220" y="31089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13</xdr:col>
      <xdr:colOff>443346</xdr:colOff>
      <xdr:row>9</xdr:row>
      <xdr:rowOff>193964</xdr:rowOff>
    </xdr:from>
    <xdr:to>
      <xdr:col>17</xdr:col>
      <xdr:colOff>551413</xdr:colOff>
      <xdr:row>20</xdr:row>
      <xdr:rowOff>157249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863C10-C643-492A-8A7F-905EDF16D3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21446" y="2198024"/>
          <a:ext cx="3933307" cy="22797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266700</xdr:colOff>
      <xdr:row>14</xdr:row>
      <xdr:rowOff>45720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76B6AF5-907F-4CA5-975D-EC59BF255545}"/>
            </a:ext>
          </a:extLst>
        </xdr:cNvPr>
        <xdr:cNvSpPr txBox="1"/>
      </xdr:nvSpPr>
      <xdr:spPr>
        <a:xfrm>
          <a:off x="6332220" y="31089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13</xdr:col>
      <xdr:colOff>443346</xdr:colOff>
      <xdr:row>9</xdr:row>
      <xdr:rowOff>193964</xdr:rowOff>
    </xdr:from>
    <xdr:to>
      <xdr:col>17</xdr:col>
      <xdr:colOff>551413</xdr:colOff>
      <xdr:row>20</xdr:row>
      <xdr:rowOff>157249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7A056D7-A96B-424A-B728-A6861BD40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21446" y="2198024"/>
          <a:ext cx="3933307" cy="22797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451963</xdr:colOff>
      <xdr:row>1</xdr:row>
      <xdr:rowOff>54429</xdr:rowOff>
    </xdr:from>
    <xdr:to>
      <xdr:col>28</xdr:col>
      <xdr:colOff>208810</xdr:colOff>
      <xdr:row>11</xdr:row>
      <xdr:rowOff>272143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61EA92-DCA7-1713-E1B4-6522A327A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86420" y="250372"/>
          <a:ext cx="2804847" cy="2460171"/>
        </a:xfrm>
        <a:prstGeom prst="rect">
          <a:avLst/>
        </a:prstGeom>
      </xdr:spPr>
    </xdr:pic>
    <xdr:clientData/>
  </xdr:twoCellAnchor>
  <xdr:twoCellAnchor>
    <xdr:from>
      <xdr:col>5</xdr:col>
      <xdr:colOff>16583</xdr:colOff>
      <xdr:row>0</xdr:row>
      <xdr:rowOff>195942</xdr:rowOff>
    </xdr:from>
    <xdr:to>
      <xdr:col>23</xdr:col>
      <xdr:colOff>359229</xdr:colOff>
      <xdr:row>36</xdr:row>
      <xdr:rowOff>141513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4824D4E-B2B3-7636-D707-878AB56DF5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A82D1AF-E9F0-4472-BB75-B04B59F8E3FB}" name="Table3" displayName="Table3" ref="L12:M17" totalsRowShown="0">
  <autoFilter ref="L12:M17" xr:uid="{9A82D1AF-E9F0-4472-BB75-B04B59F8E3FB}"/>
  <tableColumns count="2">
    <tableColumn id="1" xr3:uid="{C97AFA76-7A5F-4F83-8438-8E0753CBC8C8}" name="Type" dataDxfId="26"/>
    <tableColumn id="2" xr3:uid="{ADF13A49-BE09-42B5-AA84-8B736A678009}" name="C"/>
  </tableColumns>
  <tableStyleInfo name="TableStyleLight2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0676AAF-10AF-4FFA-9FB8-79ACC9236FA9}" name="Table2" displayName="Table2" ref="A2:C134" totalsRowShown="0" headerRowDxfId="29" headerRowBorderDxfId="28" tableBorderDxfId="27">
  <autoFilter ref="A2:C134" xr:uid="{90676AAF-10AF-4FFA-9FB8-79ACC9236FA9}"/>
  <tableColumns count="3">
    <tableColumn id="1" xr3:uid="{422473A4-5775-41C4-B6FD-2A90DE3A210F}" name="Jet velocity"/>
    <tableColumn id="2" xr3:uid="{20132846-038C-4048-9CD6-30988C846D22}" name="Max drop diameter ">
      <calculatedColumnFormula>G$4*A3^F$4</calculatedColumnFormula>
    </tableColumn>
    <tableColumn id="3" xr3:uid="{D9F6DC9F-5FF9-4F0D-90C1-7BF63D3CA96B}" name="Sauter diameter">
      <calculatedColumnFormula>G$5*A3^F$5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6558F9B-1FC3-42EF-B42E-D0C61943F2BF}" name="Table4" displayName="Table4" ref="N3:P8" totalsRowShown="0" headerRowDxfId="41" headerRowBorderDxfId="40" tableBorderDxfId="39" totalsRowBorderDxfId="38">
  <autoFilter ref="N3:P8" xr:uid="{06558F9B-1FC3-42EF-B42E-D0C61943F2BF}"/>
  <tableColumns count="3">
    <tableColumn id="1" xr3:uid="{5E089C7B-3666-489A-960F-B5677E583958}" name="Polyethylene" dataDxfId="37"/>
    <tableColumn id="2" xr3:uid="{D8122063-2FE9-4550-A381-55676D67BC68}" name="Magnesium Oxide" dataDxfId="36"/>
    <tableColumn id="3" xr3:uid="{2FA36550-BAED-4268-B450-23B306AC46A0}" name="Custom" dataDxfId="35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B0D0F93-F572-40CC-917D-D07329EF9859}" name="Table5" displayName="Table5" ref="Q3:T8" totalsRowShown="0" headerRowDxfId="34" headerRowBorderDxfId="33" tableBorderDxfId="32" totalsRowBorderDxfId="31">
  <autoFilter ref="Q3:T8" xr:uid="{3B0D0F93-F572-40CC-917D-D07329EF9859}"/>
  <tableColumns count="4">
    <tableColumn id="1" xr3:uid="{3E514966-60B8-4683-B7D5-EECF18AF61BF}" name="Steel"/>
    <tableColumn id="2" xr3:uid="{00CC57A9-5786-4B98-A616-55F2AD5F4D33}" name="Titanium"/>
    <tableColumn id="3" xr3:uid="{745DA4AF-DF7D-4CAA-89AD-254D368CBE90}" name="Copper"/>
    <tableColumn id="4" xr3:uid="{8F780A27-5993-4166-BC3D-9567AFB3E899}" name="Custom" dataDxfId="30"/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4265BA9F-B9D6-427A-86E9-4AA17F48D2CE}" name="Table315" displayName="Table315" ref="L12:M17" totalsRowShown="0">
  <autoFilter ref="L12:M17" xr:uid="{9A82D1AF-E9F0-4472-BB75-B04B59F8E3FB}"/>
  <tableColumns count="2">
    <tableColumn id="1" xr3:uid="{940B5A75-8E97-4072-97D7-B676681775D2}" name="Type" dataDxfId="25"/>
    <tableColumn id="2" xr3:uid="{F2B442F8-06CD-4405-B441-CAC1981CE28C}" name="C"/>
  </tableColumns>
  <tableStyleInfo name="TableStyleLight2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35A99C96-729D-43D2-9A90-0FD6C080FC97}" name="Table416" displayName="Table416" ref="N3:P8" totalsRowShown="0" headerRowDxfId="24" headerRowBorderDxfId="22" tableBorderDxfId="23" totalsRowBorderDxfId="21">
  <autoFilter ref="N3:P8" xr:uid="{06558F9B-1FC3-42EF-B42E-D0C61943F2BF}"/>
  <tableColumns count="3">
    <tableColumn id="1" xr3:uid="{80B6D7AF-4DB2-4F71-A33B-2DED754D8F23}" name="Polyethylene" dataDxfId="20"/>
    <tableColumn id="2" xr3:uid="{AF810754-3321-4948-B1D6-55495AB01FC3}" name="Magnesium Oxide" dataDxfId="19"/>
    <tableColumn id="3" xr3:uid="{0860DAB1-06D7-448B-ADCE-39509FBE6E5F}" name="Custom" dataDxfId="18"/>
  </tableColumns>
  <tableStyleInfo name="TableStyleLight1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32F47E2D-39ED-46A6-B3D7-041E00F7829D}" name="Table517" displayName="Table517" ref="Q3:T8" totalsRowShown="0" headerRowDxfId="17" headerRowBorderDxfId="15" tableBorderDxfId="16" totalsRowBorderDxfId="14">
  <autoFilter ref="Q3:T8" xr:uid="{3B0D0F93-F572-40CC-917D-D07329EF9859}"/>
  <tableColumns count="4">
    <tableColumn id="1" xr3:uid="{898BE47C-9273-440E-91C9-86B2DD1CE5D3}" name="Steel"/>
    <tableColumn id="2" xr3:uid="{048BAFDB-B07F-405C-BA2F-BD06E0D926E0}" name="Titanium"/>
    <tableColumn id="3" xr3:uid="{4B9E909C-A77C-43D7-AC26-9E76C3615455}" name="Copper"/>
    <tableColumn id="4" xr3:uid="{F5B07375-7DB4-4722-B2D1-F5BB057E97E1}" name="Custom" dataDxfId="13"/>
  </tableColumns>
  <tableStyleInfo name="TableStyleLight14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4D226CD2-D93A-4A49-A18B-581B56E23379}" name="Table31518" displayName="Table31518" ref="L12:M17" totalsRowShown="0">
  <autoFilter ref="L12:M17" xr:uid="{9A82D1AF-E9F0-4472-BB75-B04B59F8E3FB}"/>
  <tableColumns count="2">
    <tableColumn id="1" xr3:uid="{E226FFDB-6D28-4CAA-840A-99E1AA3E8852}" name="Type" dataDxfId="12"/>
    <tableColumn id="2" xr3:uid="{5255281C-2051-4E12-8FC6-644C271B7AFF}" name="C"/>
  </tableColumns>
  <tableStyleInfo name="TableStyleLight2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F9D9CB10-5A3C-4432-BE77-19CD00965B09}" name="Table41619" displayName="Table41619" ref="N3:P8" totalsRowShown="0" headerRowDxfId="11" headerRowBorderDxfId="9" tableBorderDxfId="10" totalsRowBorderDxfId="8">
  <autoFilter ref="N3:P8" xr:uid="{06558F9B-1FC3-42EF-B42E-D0C61943F2BF}"/>
  <tableColumns count="3">
    <tableColumn id="1" xr3:uid="{1EDBBD62-7391-4A6F-8476-55F9E7B866FE}" name="Polyethylene" dataDxfId="7"/>
    <tableColumn id="2" xr3:uid="{A0543A24-CD0B-475F-91FE-BF898D46A9A2}" name="Magnesium Oxide" dataDxfId="6"/>
    <tableColumn id="3" xr3:uid="{44B63A09-A075-44BF-A1D6-C8573EDECF17}" name="Custom" dataDxfId="5"/>
  </tableColumns>
  <tableStyleInfo name="TableStyleLight14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7F0944B6-41D6-4DFF-8667-25E116B4A8A1}" name="Table51720" displayName="Table51720" ref="Q3:T8" totalsRowShown="0" headerRowDxfId="4" headerRowBorderDxfId="2" tableBorderDxfId="3" totalsRowBorderDxfId="1">
  <autoFilter ref="Q3:T8" xr:uid="{3B0D0F93-F572-40CC-917D-D07329EF9859}"/>
  <tableColumns count="4">
    <tableColumn id="1" xr3:uid="{A8F4471D-8EEC-4B55-BA06-B6506FC24547}" name="Steel"/>
    <tableColumn id="2" xr3:uid="{739D4A98-FBD7-44B6-A67B-32820F85B396}" name="Titanium"/>
    <tableColumn id="3" xr3:uid="{1DA2000A-A1D2-4107-8AA9-859C0EF3D797}" name="Copper"/>
    <tableColumn id="4" xr3:uid="{573D0812-D867-48A1-B134-E14F99540133}" name="Custom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46A42-76D2-4A2A-B797-0F3283F38975}">
  <sheetPr codeName="Sheet2"/>
  <dimension ref="A1:U38"/>
  <sheetViews>
    <sheetView zoomScale="70" zoomScaleNormal="70" workbookViewId="0">
      <selection activeCell="F14" sqref="F14"/>
    </sheetView>
  </sheetViews>
  <sheetFormatPr defaultRowHeight="14.4" x14ac:dyDescent="0.3"/>
  <cols>
    <col min="1" max="1" width="28.88671875" bestFit="1" customWidth="1"/>
    <col min="2" max="2" width="7.88671875" bestFit="1" customWidth="1"/>
    <col min="3" max="3" width="16.21875" bestFit="1" customWidth="1"/>
    <col min="4" max="4" width="21.6640625" customWidth="1"/>
    <col min="5" max="5" width="13.77734375" bestFit="1" customWidth="1"/>
    <col min="6" max="6" width="14.88671875" bestFit="1" customWidth="1"/>
    <col min="7" max="7" width="40.88671875" customWidth="1"/>
    <col min="9" max="9" width="19.109375" customWidth="1"/>
    <col min="10" max="10" width="11.5546875" bestFit="1" customWidth="1"/>
    <col min="12" max="12" width="22.77734375" bestFit="1" customWidth="1"/>
    <col min="13" max="13" width="7.33203125" customWidth="1"/>
    <col min="14" max="14" width="14.33203125" customWidth="1"/>
    <col min="15" max="15" width="18.77734375" customWidth="1"/>
    <col min="16" max="16" width="13.77734375" bestFit="1" customWidth="1"/>
    <col min="18" max="18" width="11" customWidth="1"/>
    <col min="19" max="19" width="9.5546875" customWidth="1"/>
    <col min="20" max="20" width="9.88671875" customWidth="1"/>
    <col min="21" max="21" width="13.77734375" bestFit="1" customWidth="1"/>
  </cols>
  <sheetData>
    <row r="1" spans="1:21" ht="21" x14ac:dyDescent="0.4">
      <c r="A1" s="87" t="s">
        <v>57</v>
      </c>
      <c r="B1" s="88"/>
      <c r="C1" s="88"/>
      <c r="D1" s="90"/>
      <c r="G1" s="51" t="s">
        <v>159</v>
      </c>
      <c r="H1" s="52"/>
      <c r="I1" s="52"/>
      <c r="J1" s="53"/>
      <c r="L1" s="51" t="s">
        <v>3</v>
      </c>
      <c r="M1" s="52"/>
      <c r="N1" s="52"/>
      <c r="O1" s="52"/>
      <c r="P1" s="52"/>
      <c r="Q1" s="52"/>
      <c r="R1" s="52"/>
      <c r="S1" s="52"/>
      <c r="T1" s="52"/>
      <c r="U1" s="53"/>
    </row>
    <row r="2" spans="1:21" ht="16.2" x14ac:dyDescent="0.35">
      <c r="A2" s="85" t="s">
        <v>72</v>
      </c>
      <c r="B2" s="86"/>
      <c r="C2" s="86"/>
      <c r="D2" s="91"/>
      <c r="G2" s="6" t="s">
        <v>117</v>
      </c>
      <c r="H2" s="2" t="s">
        <v>118</v>
      </c>
      <c r="I2" s="95">
        <f>C4*C5*C6</f>
        <v>29.16</v>
      </c>
      <c r="J2" s="21" t="s">
        <v>6</v>
      </c>
      <c r="K2" s="40"/>
      <c r="L2" s="63" t="s">
        <v>139</v>
      </c>
      <c r="M2" s="49"/>
      <c r="N2" s="49"/>
      <c r="O2" s="49"/>
      <c r="P2" s="49"/>
      <c r="Q2" s="49" t="s">
        <v>140</v>
      </c>
      <c r="R2" s="49"/>
      <c r="S2" s="49"/>
      <c r="T2" s="49"/>
      <c r="U2" s="50"/>
    </row>
    <row r="3" spans="1:21" x14ac:dyDescent="0.3">
      <c r="A3" s="64" t="s">
        <v>43</v>
      </c>
      <c r="B3" s="18" t="s">
        <v>83</v>
      </c>
      <c r="C3" s="18" t="s">
        <v>84</v>
      </c>
      <c r="D3" s="39" t="s">
        <v>85</v>
      </c>
      <c r="G3" s="6" t="s">
        <v>146</v>
      </c>
      <c r="H3" s="2" t="s">
        <v>41</v>
      </c>
      <c r="I3" s="95">
        <f>C9*44.71*I2^(1/2)</f>
        <v>229.3623</v>
      </c>
      <c r="J3" s="21" t="s">
        <v>16</v>
      </c>
      <c r="K3" s="107"/>
      <c r="L3" s="33" t="s">
        <v>55</v>
      </c>
      <c r="M3" s="17"/>
      <c r="N3" s="17" t="s">
        <v>5</v>
      </c>
      <c r="O3" s="17" t="s">
        <v>133</v>
      </c>
      <c r="P3" s="17" t="s">
        <v>134</v>
      </c>
      <c r="Q3" s="17" t="s">
        <v>30</v>
      </c>
      <c r="R3" s="17" t="s">
        <v>74</v>
      </c>
      <c r="S3" s="17" t="s">
        <v>135</v>
      </c>
      <c r="T3" s="17" t="s">
        <v>134</v>
      </c>
      <c r="U3" s="34" t="s">
        <v>56</v>
      </c>
    </row>
    <row r="4" spans="1:21" ht="16.8" x14ac:dyDescent="0.35">
      <c r="A4" s="65"/>
      <c r="B4" s="2" t="s">
        <v>44</v>
      </c>
      <c r="C4" s="2">
        <v>36</v>
      </c>
      <c r="D4" s="21" t="s">
        <v>6</v>
      </c>
      <c r="G4" s="6" t="s">
        <v>61</v>
      </c>
      <c r="H4" s="2" t="s">
        <v>62</v>
      </c>
      <c r="I4" s="95">
        <f>'Curve Data'!G5*I3^'Curve Data'!F5</f>
        <v>9.4784410252737423</v>
      </c>
      <c r="J4" s="21" t="s">
        <v>17</v>
      </c>
      <c r="L4" s="6" t="s">
        <v>9</v>
      </c>
      <c r="M4" s="16" t="s">
        <v>0</v>
      </c>
      <c r="N4" s="2">
        <v>920</v>
      </c>
      <c r="O4" s="2">
        <v>3570</v>
      </c>
      <c r="P4" s="28">
        <v>1000</v>
      </c>
      <c r="Q4" s="2">
        <v>7600</v>
      </c>
      <c r="R4" s="2">
        <v>4470</v>
      </c>
      <c r="S4" s="2">
        <v>8100</v>
      </c>
      <c r="T4" s="28">
        <v>3000</v>
      </c>
      <c r="U4" s="21" t="s">
        <v>45</v>
      </c>
    </row>
    <row r="5" spans="1:21" ht="18" x14ac:dyDescent="0.4">
      <c r="A5" s="6" t="s">
        <v>115</v>
      </c>
      <c r="B5" s="2" t="s">
        <v>149</v>
      </c>
      <c r="C5" s="2">
        <v>0.9</v>
      </c>
      <c r="D5" s="21" t="s">
        <v>116</v>
      </c>
      <c r="G5" s="6" t="s">
        <v>66</v>
      </c>
      <c r="H5" s="2" t="s">
        <v>67</v>
      </c>
      <c r="I5" s="95">
        <f>1/6*PI()*I4^3</f>
        <v>445.87113639445249</v>
      </c>
      <c r="J5" s="21" t="s">
        <v>68</v>
      </c>
      <c r="K5" s="40"/>
      <c r="L5" s="6" t="s">
        <v>36</v>
      </c>
      <c r="M5" s="15" t="s">
        <v>1</v>
      </c>
      <c r="N5" s="2">
        <v>9.65</v>
      </c>
      <c r="O5" s="2">
        <v>44</v>
      </c>
      <c r="P5" s="28">
        <v>20</v>
      </c>
      <c r="Q5" s="2">
        <v>593</v>
      </c>
      <c r="R5" s="2">
        <v>221</v>
      </c>
      <c r="S5" s="2">
        <v>221</v>
      </c>
      <c r="T5" s="28">
        <v>500</v>
      </c>
      <c r="U5" s="21" t="s">
        <v>6</v>
      </c>
    </row>
    <row r="6" spans="1:21" ht="16.8" x14ac:dyDescent="0.35">
      <c r="A6" s="6" t="s">
        <v>119</v>
      </c>
      <c r="B6" s="2" t="s">
        <v>148</v>
      </c>
      <c r="C6" s="2">
        <v>0.9</v>
      </c>
      <c r="D6" s="21" t="s">
        <v>116</v>
      </c>
      <c r="G6" s="6" t="s">
        <v>103</v>
      </c>
      <c r="H6" s="2" t="s">
        <v>109</v>
      </c>
      <c r="I6" s="95">
        <f>((C7/2)^2)*PI()*M17</f>
        <v>0.1231504320207199</v>
      </c>
      <c r="J6" s="21" t="s">
        <v>104</v>
      </c>
      <c r="L6" s="6" t="s">
        <v>86</v>
      </c>
      <c r="M6" s="5" t="s">
        <v>8</v>
      </c>
      <c r="N6" s="2">
        <v>20.9</v>
      </c>
      <c r="O6" s="2">
        <v>20.9</v>
      </c>
      <c r="P6" s="28">
        <v>20.9</v>
      </c>
      <c r="Q6" s="2">
        <v>20.9</v>
      </c>
      <c r="R6" s="2">
        <v>20.9</v>
      </c>
      <c r="S6" s="2">
        <v>17.600000000000001</v>
      </c>
      <c r="T6" s="28">
        <v>20.9</v>
      </c>
      <c r="U6" s="21" t="s">
        <v>7</v>
      </c>
    </row>
    <row r="7" spans="1:21" ht="18" x14ac:dyDescent="0.4">
      <c r="A7" s="6" t="s">
        <v>100</v>
      </c>
      <c r="B7" s="2" t="s">
        <v>101</v>
      </c>
      <c r="C7" s="2">
        <v>0.4</v>
      </c>
      <c r="D7" s="21" t="s">
        <v>102</v>
      </c>
      <c r="G7" s="6" t="s">
        <v>105</v>
      </c>
      <c r="H7" s="2" t="s">
        <v>108</v>
      </c>
      <c r="I7" s="95">
        <f>((C8*10^6)/60)/(I3*1000)</f>
        <v>0.58132192314662579</v>
      </c>
      <c r="J7" s="21" t="s">
        <v>104</v>
      </c>
      <c r="L7" s="6" t="s">
        <v>37</v>
      </c>
      <c r="M7" s="15" t="s">
        <v>2</v>
      </c>
      <c r="N7" s="2">
        <v>0.2</v>
      </c>
      <c r="O7" s="2">
        <v>0.2</v>
      </c>
      <c r="P7" s="28">
        <v>0.25</v>
      </c>
      <c r="Q7" s="2">
        <v>0.3</v>
      </c>
      <c r="R7" s="2">
        <v>0.3</v>
      </c>
      <c r="S7" s="2">
        <v>0.3</v>
      </c>
      <c r="T7" s="28">
        <v>0.35</v>
      </c>
      <c r="U7" s="21" t="s">
        <v>7</v>
      </c>
    </row>
    <row r="8" spans="1:21" ht="18" x14ac:dyDescent="0.4">
      <c r="A8" s="6" t="s">
        <v>145</v>
      </c>
      <c r="B8" s="2" t="s">
        <v>40</v>
      </c>
      <c r="C8" s="2">
        <v>8</v>
      </c>
      <c r="D8" s="21" t="s">
        <v>69</v>
      </c>
      <c r="G8" s="6" t="s">
        <v>106</v>
      </c>
      <c r="H8" s="2" t="s">
        <v>107</v>
      </c>
      <c r="I8" s="98">
        <f>ROUNDUP(I7/I6,0)</f>
        <v>5</v>
      </c>
      <c r="J8" s="21"/>
      <c r="L8" s="6" t="s">
        <v>31</v>
      </c>
      <c r="M8" s="15" t="s">
        <v>38</v>
      </c>
      <c r="N8" s="2">
        <v>1473</v>
      </c>
      <c r="O8" s="2">
        <v>9100</v>
      </c>
      <c r="P8" s="28">
        <v>2000</v>
      </c>
      <c r="Q8" s="2">
        <v>5182</v>
      </c>
      <c r="R8" s="2">
        <v>5182</v>
      </c>
      <c r="S8" s="2">
        <v>2390</v>
      </c>
      <c r="T8" s="28">
        <v>4000</v>
      </c>
      <c r="U8" s="21" t="s">
        <v>16</v>
      </c>
    </row>
    <row r="9" spans="1:21" ht="18.600000000000001" thickBot="1" x14ac:dyDescent="0.45">
      <c r="A9" s="6" t="s">
        <v>120</v>
      </c>
      <c r="B9" s="2" t="s">
        <v>39</v>
      </c>
      <c r="C9" s="2">
        <v>0.95</v>
      </c>
      <c r="D9" s="21" t="s">
        <v>7</v>
      </c>
      <c r="G9" s="6" t="s">
        <v>81</v>
      </c>
      <c r="H9" s="2" t="s">
        <v>110</v>
      </c>
      <c r="I9" s="95">
        <f>C8/I8</f>
        <v>1.6</v>
      </c>
      <c r="J9" s="21" t="s">
        <v>69</v>
      </c>
      <c r="L9" s="23" t="s">
        <v>35</v>
      </c>
      <c r="M9" s="24" t="s">
        <v>97</v>
      </c>
      <c r="N9" s="25">
        <v>4</v>
      </c>
      <c r="O9" s="26" t="s">
        <v>34</v>
      </c>
      <c r="P9" s="35"/>
      <c r="Q9" s="36" t="s">
        <v>34</v>
      </c>
      <c r="R9" s="36" t="s">
        <v>34</v>
      </c>
      <c r="S9" s="35">
        <v>88</v>
      </c>
      <c r="T9" s="35"/>
      <c r="U9" s="27" t="s">
        <v>6</v>
      </c>
    </row>
    <row r="10" spans="1:21" ht="16.2" thickBot="1" x14ac:dyDescent="0.4">
      <c r="A10" s="6" t="s">
        <v>46</v>
      </c>
      <c r="B10" s="2" t="s">
        <v>42</v>
      </c>
      <c r="C10" s="2">
        <v>0</v>
      </c>
      <c r="D10" s="21" t="s">
        <v>47</v>
      </c>
      <c r="G10" s="30" t="s">
        <v>113</v>
      </c>
      <c r="H10" s="20" t="s">
        <v>114</v>
      </c>
      <c r="I10" s="108">
        <f>(((I6)*(I3*1000))*10^-6)*60</f>
        <v>1.694763980055958</v>
      </c>
      <c r="J10" s="41" t="s">
        <v>69</v>
      </c>
    </row>
    <row r="11" spans="1:21" ht="16.8" thickBot="1" x14ac:dyDescent="0.4">
      <c r="A11" s="7" t="s">
        <v>89</v>
      </c>
      <c r="B11" s="8" t="s">
        <v>79</v>
      </c>
      <c r="C11" s="8">
        <v>0.15</v>
      </c>
      <c r="D11" s="22" t="s">
        <v>75</v>
      </c>
      <c r="G11" s="6" t="s">
        <v>80</v>
      </c>
      <c r="H11" s="2" t="s">
        <v>150</v>
      </c>
      <c r="I11" s="95">
        <f>(C13*C14*I3)*10^-6</f>
        <v>335.55704489999999</v>
      </c>
      <c r="J11" s="21" t="s">
        <v>6</v>
      </c>
      <c r="L11" s="60" t="s">
        <v>141</v>
      </c>
      <c r="M11" s="62"/>
    </row>
    <row r="12" spans="1:21" ht="17.399999999999999" thickBot="1" x14ac:dyDescent="0.4">
      <c r="A12" s="60" t="s">
        <v>82</v>
      </c>
      <c r="B12" s="61"/>
      <c r="C12" s="61"/>
      <c r="D12" s="62"/>
      <c r="G12" s="6" t="s">
        <v>88</v>
      </c>
      <c r="H12" s="2" t="s">
        <v>92</v>
      </c>
      <c r="I12" s="95">
        <f>PI()/4*C11^2</f>
        <v>1.7671458676442587E-2</v>
      </c>
      <c r="J12" s="21" t="s">
        <v>90</v>
      </c>
      <c r="L12" s="103" t="s">
        <v>126</v>
      </c>
      <c r="M12" s="104" t="s">
        <v>125</v>
      </c>
    </row>
    <row r="13" spans="1:21" ht="16.8" x14ac:dyDescent="0.35">
      <c r="A13" s="6" t="s">
        <v>29</v>
      </c>
      <c r="B13" s="14" t="s">
        <v>33</v>
      </c>
      <c r="C13" s="2">
        <v>1000</v>
      </c>
      <c r="D13" s="21" t="s">
        <v>45</v>
      </c>
      <c r="G13" s="60" t="s">
        <v>127</v>
      </c>
      <c r="H13" s="61"/>
      <c r="I13" s="61"/>
      <c r="J13" s="62"/>
      <c r="L13" s="103" t="s">
        <v>122</v>
      </c>
      <c r="M13" s="104">
        <v>0.98</v>
      </c>
    </row>
    <row r="14" spans="1:21" ht="16.2" thickBot="1" x14ac:dyDescent="0.4">
      <c r="A14" s="7" t="s">
        <v>31</v>
      </c>
      <c r="B14" s="8" t="s">
        <v>32</v>
      </c>
      <c r="C14" s="8">
        <v>1463</v>
      </c>
      <c r="D14" s="22" t="s">
        <v>16</v>
      </c>
      <c r="G14" s="6" t="s">
        <v>147</v>
      </c>
      <c r="H14" s="16" t="s">
        <v>10</v>
      </c>
      <c r="I14" s="95">
        <f>(C13*C14*I3*COS(C10*PI()/180)/(1+(C13*C14/(C22*C26)))/10^6)</f>
        <v>161.35829227818294</v>
      </c>
      <c r="J14" s="21" t="s">
        <v>6</v>
      </c>
      <c r="L14" s="103" t="s">
        <v>121</v>
      </c>
      <c r="M14" s="104">
        <v>0.61</v>
      </c>
    </row>
    <row r="15" spans="1:21" ht="16.2" thickBot="1" x14ac:dyDescent="0.35">
      <c r="A15" s="60" t="s">
        <v>4</v>
      </c>
      <c r="B15" s="61"/>
      <c r="C15" s="61"/>
      <c r="D15" s="62"/>
      <c r="G15" s="7" t="s">
        <v>48</v>
      </c>
      <c r="H15" s="37" t="s">
        <v>49</v>
      </c>
      <c r="I15" s="96">
        <f>4*C23*(C24-1)/(1-2*C25)</f>
        <v>1280.2333333333333</v>
      </c>
      <c r="J15" s="22" t="s">
        <v>6</v>
      </c>
      <c r="L15" s="105" t="s">
        <v>123</v>
      </c>
      <c r="M15" s="104">
        <v>0.8</v>
      </c>
    </row>
    <row r="16" spans="1:21" ht="16.2" x14ac:dyDescent="0.35">
      <c r="A16" s="6" t="s">
        <v>78</v>
      </c>
      <c r="B16" s="2" t="s">
        <v>76</v>
      </c>
      <c r="C16" s="2">
        <v>0.1</v>
      </c>
      <c r="D16" s="21" t="s">
        <v>75</v>
      </c>
      <c r="G16" s="60" t="s">
        <v>111</v>
      </c>
      <c r="H16" s="61"/>
      <c r="I16" s="61"/>
      <c r="J16" s="62"/>
      <c r="L16" s="103" t="s">
        <v>124</v>
      </c>
      <c r="M16" s="104">
        <v>0.51</v>
      </c>
      <c r="N16" s="89"/>
      <c r="O16" s="89"/>
    </row>
    <row r="17" spans="1:15" ht="17.399999999999999" thickBot="1" x14ac:dyDescent="0.4">
      <c r="A17" s="7" t="s">
        <v>112</v>
      </c>
      <c r="B17" s="8" t="s">
        <v>91</v>
      </c>
      <c r="C17" s="8">
        <v>0.3</v>
      </c>
      <c r="D17" s="22" t="s">
        <v>90</v>
      </c>
      <c r="G17" s="6" t="s">
        <v>70</v>
      </c>
      <c r="H17" s="5" t="s">
        <v>24</v>
      </c>
      <c r="I17" s="98">
        <f>73.3*(I18*10^-6)*C22*((I4^-6)^3)*(I14/I15)^4</f>
        <v>2.6692877136256354E-12</v>
      </c>
      <c r="J17" s="21" t="s">
        <v>65</v>
      </c>
      <c r="L17" s="106" t="str">
        <f>D18</f>
        <v>Rounded (0.98)</v>
      </c>
      <c r="M17" s="42">
        <f>VLOOKUP(D18,L13:M16,2,FALSE)</f>
        <v>0.98</v>
      </c>
      <c r="N17" s="89"/>
      <c r="O17" s="89"/>
    </row>
    <row r="18" spans="1:15" ht="16.8" thickBot="1" x14ac:dyDescent="0.4">
      <c r="A18" s="92" t="s">
        <v>158</v>
      </c>
      <c r="B18" s="93"/>
      <c r="C18" s="94"/>
      <c r="D18" s="48" t="s">
        <v>122</v>
      </c>
      <c r="G18" s="6" t="s">
        <v>156</v>
      </c>
      <c r="H18" s="15" t="s">
        <v>144</v>
      </c>
      <c r="I18" s="98">
        <f>(I9*(10^15)/60)/I5</f>
        <v>59808012876.337547</v>
      </c>
      <c r="J18" s="21" t="s">
        <v>71</v>
      </c>
    </row>
    <row r="19" spans="1:15" ht="16.8" thickBot="1" x14ac:dyDescent="0.4">
      <c r="G19" s="6" t="s">
        <v>157</v>
      </c>
      <c r="H19" s="15" t="s">
        <v>98</v>
      </c>
      <c r="I19" s="95">
        <f>I17*I18</f>
        <v>0.15964479394717163</v>
      </c>
      <c r="J19" s="21" t="s">
        <v>73</v>
      </c>
    </row>
    <row r="20" spans="1:15" ht="15.6" x14ac:dyDescent="0.3">
      <c r="A20" s="56" t="s">
        <v>137</v>
      </c>
      <c r="B20" s="57"/>
      <c r="C20" s="38" t="s">
        <v>136</v>
      </c>
      <c r="D20" s="38" t="s">
        <v>138</v>
      </c>
      <c r="E20" s="54" t="s">
        <v>56</v>
      </c>
      <c r="G20" s="6" t="s">
        <v>155</v>
      </c>
      <c r="H20" s="19" t="s">
        <v>75</v>
      </c>
      <c r="I20" s="102">
        <f>I12*C16*C22</f>
        <v>1.6257741982327181</v>
      </c>
      <c r="J20" s="43" t="s">
        <v>77</v>
      </c>
    </row>
    <row r="21" spans="1:15" ht="15.6" x14ac:dyDescent="0.3">
      <c r="A21" s="58"/>
      <c r="B21" s="59"/>
      <c r="C21" s="31" t="s">
        <v>5</v>
      </c>
      <c r="D21" s="32" t="s">
        <v>30</v>
      </c>
      <c r="E21" s="55"/>
      <c r="G21" s="6" t="s">
        <v>154</v>
      </c>
      <c r="H21" s="16" t="s">
        <v>51</v>
      </c>
      <c r="I21" s="95">
        <f>I20/I19</f>
        <v>10.183696931393241</v>
      </c>
      <c r="J21" s="21" t="s">
        <v>52</v>
      </c>
    </row>
    <row r="22" spans="1:15" ht="16.8" x14ac:dyDescent="0.35">
      <c r="A22" s="6" t="s">
        <v>9</v>
      </c>
      <c r="B22" s="16" t="s">
        <v>151</v>
      </c>
      <c r="C22" s="2">
        <f>HLOOKUP(C21, Table4[#All],2,FALSE)</f>
        <v>920</v>
      </c>
      <c r="D22" s="2">
        <f>HLOOKUP(D21, Table5[#All],2,FALSE)</f>
        <v>7600</v>
      </c>
      <c r="E22" s="21" t="s">
        <v>45</v>
      </c>
      <c r="G22" s="6" t="s">
        <v>87</v>
      </c>
      <c r="H22" s="15" t="s">
        <v>95</v>
      </c>
      <c r="I22" s="95">
        <f>C11/I21</f>
        <v>1.4729424982944612E-2</v>
      </c>
      <c r="J22" s="21" t="s">
        <v>16</v>
      </c>
    </row>
    <row r="23" spans="1:15" ht="18" x14ac:dyDescent="0.4">
      <c r="A23" s="6" t="s">
        <v>36</v>
      </c>
      <c r="B23" s="15" t="s">
        <v>1</v>
      </c>
      <c r="C23" s="2">
        <f>HLOOKUP(C21, Table4[#All],3,FALSE)</f>
        <v>9.65</v>
      </c>
      <c r="D23" s="2">
        <f>HLOOKUP(D21, Table5[#All],3,FALSE)</f>
        <v>593</v>
      </c>
      <c r="E23" s="21" t="s">
        <v>6</v>
      </c>
      <c r="G23" s="6" t="s">
        <v>93</v>
      </c>
      <c r="H23" s="5" t="s">
        <v>96</v>
      </c>
      <c r="I23" s="95">
        <f>C17/I12*I20</f>
        <v>27.6</v>
      </c>
      <c r="J23" s="21" t="s">
        <v>77</v>
      </c>
    </row>
    <row r="24" spans="1:15" ht="16.8" thickBot="1" x14ac:dyDescent="0.4">
      <c r="A24" s="6" t="s">
        <v>86</v>
      </c>
      <c r="B24" s="5" t="s">
        <v>8</v>
      </c>
      <c r="C24" s="2">
        <f>HLOOKUP(C21, Table4[#All],4,FALSE)</f>
        <v>20.9</v>
      </c>
      <c r="D24" s="2">
        <f>HLOOKUP(D21, Table5[#All],4,FALSE)</f>
        <v>20.9</v>
      </c>
      <c r="E24" s="21" t="s">
        <v>7</v>
      </c>
      <c r="G24" s="44" t="s">
        <v>94</v>
      </c>
      <c r="H24" s="45" t="s">
        <v>99</v>
      </c>
      <c r="I24" s="97">
        <f>C17/I12*I21+I21</f>
        <v>183.06750552669993</v>
      </c>
      <c r="J24" s="46" t="s">
        <v>52</v>
      </c>
    </row>
    <row r="25" spans="1:15" ht="18" x14ac:dyDescent="0.4">
      <c r="A25" s="6" t="s">
        <v>37</v>
      </c>
      <c r="B25" s="15" t="s">
        <v>152</v>
      </c>
      <c r="C25" s="2">
        <f>HLOOKUP(C21, Table4[#All],5,FALSE)</f>
        <v>0.2</v>
      </c>
      <c r="D25" s="2">
        <f>HLOOKUP(D21, Table5[#All],5,FALSE)</f>
        <v>0.3</v>
      </c>
      <c r="E25" s="21" t="s">
        <v>7</v>
      </c>
      <c r="G25" s="60" t="s">
        <v>59</v>
      </c>
      <c r="H25" s="61"/>
      <c r="I25" s="61"/>
      <c r="J25" s="62"/>
    </row>
    <row r="26" spans="1:15" ht="18.600000000000001" thickBot="1" x14ac:dyDescent="0.45">
      <c r="A26" s="7" t="s">
        <v>31</v>
      </c>
      <c r="B26" s="37" t="s">
        <v>153</v>
      </c>
      <c r="C26" s="8">
        <f>HLOOKUP(C21, Table4[#All],6,FALSE)</f>
        <v>1473</v>
      </c>
      <c r="D26" s="8">
        <f>HLOOKUP(D21, Table5[#All],6,FALSE)</f>
        <v>5182</v>
      </c>
      <c r="E26" s="22" t="s">
        <v>16</v>
      </c>
      <c r="G26" s="6" t="s">
        <v>50</v>
      </c>
      <c r="H26" s="5" t="s">
        <v>54</v>
      </c>
      <c r="I26" s="47" t="str">
        <f>IF((I15/I14)&gt;8, "Pass", "Fail")</f>
        <v>Fail</v>
      </c>
      <c r="J26" s="21"/>
    </row>
    <row r="27" spans="1:15" ht="15.6" x14ac:dyDescent="0.35">
      <c r="G27" s="6" t="s">
        <v>63</v>
      </c>
      <c r="H27" s="5" t="s">
        <v>143</v>
      </c>
      <c r="I27" s="98" t="str">
        <f>IF(I26="pass", (8.9/(I4*10^-6)^2)*((I15/I14)^5.7), "Not applicable")</f>
        <v>Not applicable</v>
      </c>
      <c r="J27" s="21" t="s">
        <v>53</v>
      </c>
    </row>
    <row r="28" spans="1:15" ht="15.6" x14ac:dyDescent="0.35">
      <c r="G28" s="6" t="s">
        <v>132</v>
      </c>
      <c r="H28" s="2" t="s">
        <v>142</v>
      </c>
      <c r="I28" s="98" t="str">
        <f>IF(I26="pass",C11*I27, "Not applicable")</f>
        <v>Not applicable</v>
      </c>
      <c r="J28" s="21" t="s">
        <v>52</v>
      </c>
    </row>
    <row r="29" spans="1:15" x14ac:dyDescent="0.3">
      <c r="G29" s="6" t="s">
        <v>64</v>
      </c>
      <c r="H29" s="2" t="s">
        <v>51</v>
      </c>
      <c r="I29" s="98" t="str">
        <f>IF(I26="pass", I28/I18, "Not applicable")</f>
        <v>Not applicable</v>
      </c>
      <c r="J29" s="21" t="s">
        <v>52</v>
      </c>
    </row>
    <row r="30" spans="1:15" ht="15" thickBot="1" x14ac:dyDescent="0.35">
      <c r="G30" s="44" t="s">
        <v>64</v>
      </c>
      <c r="H30" s="29" t="s">
        <v>51</v>
      </c>
      <c r="I30" s="99" t="str">
        <f>IF(I26="pass", I29*0.000277778, "Not applicable")</f>
        <v>Not applicable</v>
      </c>
      <c r="J30" s="46" t="s">
        <v>130</v>
      </c>
    </row>
    <row r="31" spans="1:15" ht="15.6" x14ac:dyDescent="0.3">
      <c r="G31" s="60" t="s">
        <v>58</v>
      </c>
      <c r="H31" s="61"/>
      <c r="I31" s="61"/>
      <c r="J31" s="62"/>
    </row>
    <row r="32" spans="1:15" x14ac:dyDescent="0.3">
      <c r="G32" s="6" t="s">
        <v>128</v>
      </c>
      <c r="H32" s="5" t="s">
        <v>10</v>
      </c>
      <c r="I32" s="98">
        <f>(C13*C14*I3*COS(C10*PI()/180)/(1+(C13*C14/(D22*D26)))/10^6)</f>
        <v>323.53830247870502</v>
      </c>
      <c r="J32" s="21" t="s">
        <v>6</v>
      </c>
    </row>
    <row r="33" spans="7:10" ht="15.6" x14ac:dyDescent="0.3">
      <c r="G33" s="6" t="s">
        <v>129</v>
      </c>
      <c r="H33" s="15" t="s">
        <v>49</v>
      </c>
      <c r="I33" s="98">
        <f>4*D23*(D24-1)/(1-2*D25)</f>
        <v>118006.99999999999</v>
      </c>
      <c r="J33" s="21" t="s">
        <v>6</v>
      </c>
    </row>
    <row r="34" spans="7:10" ht="15.6" x14ac:dyDescent="0.3">
      <c r="G34" s="6" t="s">
        <v>50</v>
      </c>
      <c r="H34" s="15" t="s">
        <v>54</v>
      </c>
      <c r="I34" s="100" t="str">
        <f>IF((I33/I32)&gt;8,"Pass","Fail")</f>
        <v>Pass</v>
      </c>
      <c r="J34" s="21"/>
    </row>
    <row r="35" spans="7:10" ht="15.6" x14ac:dyDescent="0.35">
      <c r="G35" s="6" t="s">
        <v>63</v>
      </c>
      <c r="H35" s="5" t="s">
        <v>143</v>
      </c>
      <c r="I35" s="98">
        <f>IF(I34="pass", (8.9/(I4*10^-6)^2)*((I33/I32)^5.7), "Not applicable")</f>
        <v>3.9738728345763004E+25</v>
      </c>
      <c r="J35" s="21" t="s">
        <v>60</v>
      </c>
    </row>
    <row r="36" spans="7:10" ht="15.6" x14ac:dyDescent="0.35">
      <c r="G36" s="6" t="s">
        <v>132</v>
      </c>
      <c r="H36" s="2" t="s">
        <v>142</v>
      </c>
      <c r="I36" s="98">
        <f>IF(I34="pass",C11*I35, "Not applicable")</f>
        <v>5.9608092518644501E+24</v>
      </c>
      <c r="J36" s="21" t="s">
        <v>131</v>
      </c>
    </row>
    <row r="37" spans="7:10" x14ac:dyDescent="0.3">
      <c r="G37" s="6" t="s">
        <v>64</v>
      </c>
      <c r="H37" s="5" t="s">
        <v>51</v>
      </c>
      <c r="I37" s="98">
        <f>IF(I34="pass", I36/I18, "not applicable")</f>
        <v>99665729810976.313</v>
      </c>
      <c r="J37" s="21" t="s">
        <v>52</v>
      </c>
    </row>
    <row r="38" spans="7:10" ht="15" thickBot="1" x14ac:dyDescent="0.35">
      <c r="G38" s="7" t="s">
        <v>64</v>
      </c>
      <c r="H38" s="9" t="s">
        <v>51</v>
      </c>
      <c r="I38" s="101">
        <f>IF(I34="pass", I37*0.000277778, "Not applicable")</f>
        <v>27684947095.43338</v>
      </c>
      <c r="J38" s="22" t="s">
        <v>130</v>
      </c>
    </row>
  </sheetData>
  <dataConsolidate>
    <dataRefs count="2">
      <dataRef ref="L4:M7" sheet="Setup 1"/>
      <dataRef ref="C9" sheet="Setup 1"/>
    </dataRefs>
  </dataConsolidate>
  <mergeCells count="17">
    <mergeCell ref="G25:J25"/>
    <mergeCell ref="G31:J31"/>
    <mergeCell ref="L11:M11"/>
    <mergeCell ref="Q2:U2"/>
    <mergeCell ref="L1:U1"/>
    <mergeCell ref="E20:E21"/>
    <mergeCell ref="A20:B21"/>
    <mergeCell ref="A12:D12"/>
    <mergeCell ref="L2:P2"/>
    <mergeCell ref="G1:J1"/>
    <mergeCell ref="A3:A4"/>
    <mergeCell ref="A18:C18"/>
    <mergeCell ref="A1:D1"/>
    <mergeCell ref="A2:D2"/>
    <mergeCell ref="A15:D15"/>
    <mergeCell ref="G13:J13"/>
    <mergeCell ref="G16:J16"/>
  </mergeCells>
  <dataValidations count="3">
    <dataValidation type="list" allowBlank="1" showInputMessage="1" showErrorMessage="1" sqref="C21" xr:uid="{50998C26-5B5F-4E1A-9491-1E0B403B17AE}">
      <formula1>$N$3:$P$3</formula1>
    </dataValidation>
    <dataValidation type="list" allowBlank="1" showInputMessage="1" showErrorMessage="1" sqref="D21" xr:uid="{C42C0539-E0AC-4AE8-832E-1D3126872097}">
      <formula1>$Q$3:$T$3</formula1>
    </dataValidation>
    <dataValidation type="list" allowBlank="1" showInputMessage="1" showErrorMessage="1" sqref="D18" xr:uid="{6A0D11AD-9CCF-4FC6-87AA-0D41F7F356A8}">
      <formula1>$L$13:$L$17</formula1>
    </dataValidation>
  </dataValidations>
  <pageMargins left="0.7" right="0.7" top="0.75" bottom="0.75" header="0.3" footer="0.3"/>
  <pageSetup orientation="portrait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A28E4-0E0F-4064-B934-24E9072CA483}">
  <dimension ref="A1:U38"/>
  <sheetViews>
    <sheetView zoomScale="70" zoomScaleNormal="70" workbookViewId="0">
      <selection activeCell="G1" sqref="G1:J30"/>
    </sheetView>
  </sheetViews>
  <sheetFormatPr defaultRowHeight="14.4" x14ac:dyDescent="0.3"/>
  <cols>
    <col min="1" max="1" width="28.88671875" bestFit="1" customWidth="1"/>
    <col min="2" max="2" width="7.88671875" bestFit="1" customWidth="1"/>
    <col min="3" max="3" width="16.21875" bestFit="1" customWidth="1"/>
    <col min="4" max="4" width="21.6640625" customWidth="1"/>
    <col min="5" max="5" width="13.77734375" bestFit="1" customWidth="1"/>
    <col min="6" max="6" width="14.88671875" bestFit="1" customWidth="1"/>
    <col min="7" max="7" width="40.88671875" customWidth="1"/>
    <col min="9" max="9" width="19.109375" customWidth="1"/>
    <col min="10" max="10" width="11.5546875" bestFit="1" customWidth="1"/>
    <col min="12" max="12" width="22.77734375" bestFit="1" customWidth="1"/>
    <col min="13" max="13" width="7.33203125" customWidth="1"/>
    <col min="14" max="14" width="14.33203125" customWidth="1"/>
    <col min="15" max="15" width="18.77734375" customWidth="1"/>
    <col min="16" max="16" width="13.77734375" bestFit="1" customWidth="1"/>
    <col min="18" max="18" width="11" customWidth="1"/>
    <col min="19" max="19" width="9.5546875" customWidth="1"/>
    <col min="20" max="20" width="9.88671875" customWidth="1"/>
    <col min="21" max="21" width="13.77734375" bestFit="1" customWidth="1"/>
  </cols>
  <sheetData>
    <row r="1" spans="1:21" ht="21" x14ac:dyDescent="0.4">
      <c r="A1" s="87" t="s">
        <v>57</v>
      </c>
      <c r="B1" s="88"/>
      <c r="C1" s="88"/>
      <c r="D1" s="90"/>
      <c r="G1" s="51" t="s">
        <v>159</v>
      </c>
      <c r="H1" s="52"/>
      <c r="I1" s="52"/>
      <c r="J1" s="53"/>
      <c r="L1" s="51" t="s">
        <v>3</v>
      </c>
      <c r="M1" s="52"/>
      <c r="N1" s="52"/>
      <c r="O1" s="52"/>
      <c r="P1" s="52"/>
      <c r="Q1" s="52"/>
      <c r="R1" s="52"/>
      <c r="S1" s="52"/>
      <c r="T1" s="52"/>
      <c r="U1" s="53"/>
    </row>
    <row r="2" spans="1:21" ht="16.2" x14ac:dyDescent="0.35">
      <c r="A2" s="85" t="s">
        <v>72</v>
      </c>
      <c r="B2" s="86"/>
      <c r="C2" s="86"/>
      <c r="D2" s="91"/>
      <c r="G2" s="6" t="s">
        <v>117</v>
      </c>
      <c r="H2" s="2" t="s">
        <v>118</v>
      </c>
      <c r="I2" s="95">
        <f>C4*C5*C6</f>
        <v>33.21</v>
      </c>
      <c r="J2" s="21" t="s">
        <v>6</v>
      </c>
      <c r="K2" s="40"/>
      <c r="L2" s="63" t="s">
        <v>139</v>
      </c>
      <c r="M2" s="49"/>
      <c r="N2" s="49"/>
      <c r="O2" s="49"/>
      <c r="P2" s="49"/>
      <c r="Q2" s="49" t="s">
        <v>140</v>
      </c>
      <c r="R2" s="49"/>
      <c r="S2" s="49"/>
      <c r="T2" s="49"/>
      <c r="U2" s="50"/>
    </row>
    <row r="3" spans="1:21" x14ac:dyDescent="0.3">
      <c r="A3" s="64" t="s">
        <v>43</v>
      </c>
      <c r="B3" s="18" t="s">
        <v>83</v>
      </c>
      <c r="C3" s="18" t="s">
        <v>84</v>
      </c>
      <c r="D3" s="39" t="s">
        <v>85</v>
      </c>
      <c r="G3" s="6" t="s">
        <v>146</v>
      </c>
      <c r="H3" s="2" t="s">
        <v>41</v>
      </c>
      <c r="I3" s="95">
        <f>C9*44.71*I2^(1/2)</f>
        <v>244.77255038055736</v>
      </c>
      <c r="J3" s="21" t="s">
        <v>16</v>
      </c>
      <c r="K3" s="107"/>
      <c r="L3" s="33" t="s">
        <v>55</v>
      </c>
      <c r="M3" s="17"/>
      <c r="N3" s="17" t="s">
        <v>5</v>
      </c>
      <c r="O3" s="17" t="s">
        <v>133</v>
      </c>
      <c r="P3" s="17" t="s">
        <v>134</v>
      </c>
      <c r="Q3" s="17" t="s">
        <v>30</v>
      </c>
      <c r="R3" s="17" t="s">
        <v>74</v>
      </c>
      <c r="S3" s="17" t="s">
        <v>135</v>
      </c>
      <c r="T3" s="17" t="s">
        <v>134</v>
      </c>
      <c r="U3" s="34" t="s">
        <v>56</v>
      </c>
    </row>
    <row r="4" spans="1:21" ht="16.8" x14ac:dyDescent="0.35">
      <c r="A4" s="65"/>
      <c r="B4" s="2" t="s">
        <v>44</v>
      </c>
      <c r="C4" s="2">
        <v>41</v>
      </c>
      <c r="D4" s="21" t="s">
        <v>6</v>
      </c>
      <c r="G4" s="6" t="s">
        <v>61</v>
      </c>
      <c r="H4" s="2" t="s">
        <v>62</v>
      </c>
      <c r="I4" s="95">
        <f>'Curve Data'!G5*I3^'Curve Data'!F5</f>
        <v>8.8642837450290966</v>
      </c>
      <c r="J4" s="21" t="s">
        <v>17</v>
      </c>
      <c r="L4" s="6" t="s">
        <v>9</v>
      </c>
      <c r="M4" s="16" t="s">
        <v>0</v>
      </c>
      <c r="N4" s="2">
        <v>920</v>
      </c>
      <c r="O4" s="2">
        <v>3570</v>
      </c>
      <c r="P4" s="28">
        <v>1000</v>
      </c>
      <c r="Q4" s="2">
        <v>7600</v>
      </c>
      <c r="R4" s="2">
        <v>4470</v>
      </c>
      <c r="S4" s="2">
        <v>8100</v>
      </c>
      <c r="T4" s="28">
        <v>3000</v>
      </c>
      <c r="U4" s="21" t="s">
        <v>45</v>
      </c>
    </row>
    <row r="5" spans="1:21" ht="18" x14ac:dyDescent="0.4">
      <c r="A5" s="6" t="s">
        <v>115</v>
      </c>
      <c r="B5" s="2" t="s">
        <v>149</v>
      </c>
      <c r="C5" s="2">
        <v>0.9</v>
      </c>
      <c r="D5" s="21" t="s">
        <v>116</v>
      </c>
      <c r="G5" s="6" t="s">
        <v>66</v>
      </c>
      <c r="H5" s="2" t="s">
        <v>67</v>
      </c>
      <c r="I5" s="95">
        <f>1/6*PI()*I4^3</f>
        <v>364.69479946020988</v>
      </c>
      <c r="J5" s="21" t="s">
        <v>68</v>
      </c>
      <c r="K5" s="40"/>
      <c r="L5" s="6" t="s">
        <v>36</v>
      </c>
      <c r="M5" s="15" t="s">
        <v>1</v>
      </c>
      <c r="N5" s="2">
        <v>9.65</v>
      </c>
      <c r="O5" s="2">
        <v>44</v>
      </c>
      <c r="P5" s="28">
        <v>20</v>
      </c>
      <c r="Q5" s="2">
        <v>593</v>
      </c>
      <c r="R5" s="2">
        <v>221</v>
      </c>
      <c r="S5" s="2">
        <v>221</v>
      </c>
      <c r="T5" s="28">
        <v>500</v>
      </c>
      <c r="U5" s="21" t="s">
        <v>6</v>
      </c>
    </row>
    <row r="6" spans="1:21" ht="16.8" x14ac:dyDescent="0.35">
      <c r="A6" s="6" t="s">
        <v>119</v>
      </c>
      <c r="B6" s="2" t="s">
        <v>148</v>
      </c>
      <c r="C6" s="2">
        <v>0.9</v>
      </c>
      <c r="D6" s="21" t="s">
        <v>116</v>
      </c>
      <c r="G6" s="6" t="s">
        <v>103</v>
      </c>
      <c r="H6" s="2" t="s">
        <v>109</v>
      </c>
      <c r="I6" s="95">
        <f>((C7/2)^2)*PI()*M17</f>
        <v>0.1231504320207199</v>
      </c>
      <c r="J6" s="21" t="s">
        <v>104</v>
      </c>
      <c r="L6" s="6" t="s">
        <v>86</v>
      </c>
      <c r="M6" s="5" t="s">
        <v>8</v>
      </c>
      <c r="N6" s="2">
        <v>20.9</v>
      </c>
      <c r="O6" s="2">
        <v>20.9</v>
      </c>
      <c r="P6" s="28">
        <v>20.9</v>
      </c>
      <c r="Q6" s="2">
        <v>20.9</v>
      </c>
      <c r="R6" s="2">
        <v>20.9</v>
      </c>
      <c r="S6" s="2">
        <v>17.600000000000001</v>
      </c>
      <c r="T6" s="28">
        <v>20.9</v>
      </c>
      <c r="U6" s="21" t="s">
        <v>7</v>
      </c>
    </row>
    <row r="7" spans="1:21" ht="18" x14ac:dyDescent="0.4">
      <c r="A7" s="6" t="s">
        <v>100</v>
      </c>
      <c r="B7" s="2" t="s">
        <v>101</v>
      </c>
      <c r="C7" s="2">
        <v>0.4</v>
      </c>
      <c r="D7" s="21" t="s">
        <v>102</v>
      </c>
      <c r="G7" s="6" t="s">
        <v>105</v>
      </c>
      <c r="H7" s="2" t="s">
        <v>108</v>
      </c>
      <c r="I7" s="95">
        <f>((C8*10^6)/60)/(I3*1000)</f>
        <v>0.54472338963676625</v>
      </c>
      <c r="J7" s="21" t="s">
        <v>104</v>
      </c>
      <c r="L7" s="6" t="s">
        <v>37</v>
      </c>
      <c r="M7" s="15" t="s">
        <v>2</v>
      </c>
      <c r="N7" s="2">
        <v>0.2</v>
      </c>
      <c r="O7" s="2">
        <v>0.2</v>
      </c>
      <c r="P7" s="28">
        <v>0.25</v>
      </c>
      <c r="Q7" s="2">
        <v>0.3</v>
      </c>
      <c r="R7" s="2">
        <v>0.3</v>
      </c>
      <c r="S7" s="2">
        <v>0.3</v>
      </c>
      <c r="T7" s="28">
        <v>0.35</v>
      </c>
      <c r="U7" s="21" t="s">
        <v>7</v>
      </c>
    </row>
    <row r="8" spans="1:21" ht="18" x14ac:dyDescent="0.4">
      <c r="A8" s="6" t="s">
        <v>145</v>
      </c>
      <c r="B8" s="2" t="s">
        <v>40</v>
      </c>
      <c r="C8" s="2">
        <v>8</v>
      </c>
      <c r="D8" s="21" t="s">
        <v>69</v>
      </c>
      <c r="G8" s="6" t="s">
        <v>106</v>
      </c>
      <c r="H8" s="2" t="s">
        <v>107</v>
      </c>
      <c r="I8" s="98">
        <f>ROUNDUP(I7/I6,0)</f>
        <v>5</v>
      </c>
      <c r="J8" s="21"/>
      <c r="L8" s="6" t="s">
        <v>31</v>
      </c>
      <c r="M8" s="15" t="s">
        <v>38</v>
      </c>
      <c r="N8" s="2">
        <v>1473</v>
      </c>
      <c r="O8" s="2">
        <v>9100</v>
      </c>
      <c r="P8" s="28">
        <v>2000</v>
      </c>
      <c r="Q8" s="2">
        <v>5182</v>
      </c>
      <c r="R8" s="2">
        <v>5182</v>
      </c>
      <c r="S8" s="2">
        <v>2390</v>
      </c>
      <c r="T8" s="28">
        <v>4000</v>
      </c>
      <c r="U8" s="21" t="s">
        <v>16</v>
      </c>
    </row>
    <row r="9" spans="1:21" ht="18.600000000000001" thickBot="1" x14ac:dyDescent="0.45">
      <c r="A9" s="6" t="s">
        <v>120</v>
      </c>
      <c r="B9" s="2" t="s">
        <v>39</v>
      </c>
      <c r="C9" s="2">
        <v>0.95</v>
      </c>
      <c r="D9" s="21" t="s">
        <v>7</v>
      </c>
      <c r="G9" s="6" t="s">
        <v>81</v>
      </c>
      <c r="H9" s="2" t="s">
        <v>110</v>
      </c>
      <c r="I9" s="95">
        <f>C8/I8</f>
        <v>1.6</v>
      </c>
      <c r="J9" s="21" t="s">
        <v>69</v>
      </c>
      <c r="L9" s="23" t="s">
        <v>35</v>
      </c>
      <c r="M9" s="24" t="s">
        <v>97</v>
      </c>
      <c r="N9" s="25">
        <v>4</v>
      </c>
      <c r="O9" s="26" t="s">
        <v>34</v>
      </c>
      <c r="P9" s="35"/>
      <c r="Q9" s="36" t="s">
        <v>34</v>
      </c>
      <c r="R9" s="36" t="s">
        <v>34</v>
      </c>
      <c r="S9" s="35">
        <v>88</v>
      </c>
      <c r="T9" s="35"/>
      <c r="U9" s="27" t="s">
        <v>6</v>
      </c>
    </row>
    <row r="10" spans="1:21" ht="16.2" thickBot="1" x14ac:dyDescent="0.4">
      <c r="A10" s="6" t="s">
        <v>46</v>
      </c>
      <c r="B10" s="2" t="s">
        <v>42</v>
      </c>
      <c r="C10" s="2">
        <v>0</v>
      </c>
      <c r="D10" s="21" t="s">
        <v>47</v>
      </c>
      <c r="G10" s="30" t="s">
        <v>113</v>
      </c>
      <c r="H10" s="20" t="s">
        <v>114</v>
      </c>
      <c r="I10" s="108">
        <f>(((I6)*(I3*1000))*10^-6)*60</f>
        <v>1.8086307195707438</v>
      </c>
      <c r="J10" s="41" t="s">
        <v>69</v>
      </c>
    </row>
    <row r="11" spans="1:21" ht="16.8" thickBot="1" x14ac:dyDescent="0.4">
      <c r="A11" s="7" t="s">
        <v>89</v>
      </c>
      <c r="B11" s="8" t="s">
        <v>79</v>
      </c>
      <c r="C11" s="8">
        <v>0.15</v>
      </c>
      <c r="D11" s="22" t="s">
        <v>75</v>
      </c>
      <c r="G11" s="6" t="s">
        <v>80</v>
      </c>
      <c r="H11" s="2" t="s">
        <v>150</v>
      </c>
      <c r="I11" s="95">
        <f>(C13*C14*I3)*10^-6</f>
        <v>358.10224120675537</v>
      </c>
      <c r="J11" s="21" t="s">
        <v>6</v>
      </c>
      <c r="L11" s="60" t="s">
        <v>141</v>
      </c>
      <c r="M11" s="62"/>
    </row>
    <row r="12" spans="1:21" ht="17.399999999999999" thickBot="1" x14ac:dyDescent="0.4">
      <c r="A12" s="60" t="s">
        <v>82</v>
      </c>
      <c r="B12" s="61"/>
      <c r="C12" s="61"/>
      <c r="D12" s="62"/>
      <c r="G12" s="6" t="s">
        <v>88</v>
      </c>
      <c r="H12" s="2" t="s">
        <v>92</v>
      </c>
      <c r="I12" s="95">
        <f>PI()/4*C11^2</f>
        <v>1.7671458676442587E-2</v>
      </c>
      <c r="J12" s="21" t="s">
        <v>90</v>
      </c>
      <c r="L12" s="103" t="s">
        <v>126</v>
      </c>
      <c r="M12" s="104" t="s">
        <v>125</v>
      </c>
    </row>
    <row r="13" spans="1:21" ht="16.8" x14ac:dyDescent="0.35">
      <c r="A13" s="6" t="s">
        <v>29</v>
      </c>
      <c r="B13" s="14" t="s">
        <v>33</v>
      </c>
      <c r="C13" s="2">
        <v>1000</v>
      </c>
      <c r="D13" s="21" t="s">
        <v>45</v>
      </c>
      <c r="G13" s="60" t="s">
        <v>127</v>
      </c>
      <c r="H13" s="61"/>
      <c r="I13" s="61"/>
      <c r="J13" s="62"/>
      <c r="L13" s="103" t="s">
        <v>122</v>
      </c>
      <c r="M13" s="104">
        <v>0.98</v>
      </c>
    </row>
    <row r="14" spans="1:21" ht="16.2" thickBot="1" x14ac:dyDescent="0.4">
      <c r="A14" s="7" t="s">
        <v>31</v>
      </c>
      <c r="B14" s="8" t="s">
        <v>32</v>
      </c>
      <c r="C14" s="8">
        <v>1463</v>
      </c>
      <c r="D14" s="22" t="s">
        <v>16</v>
      </c>
      <c r="G14" s="6" t="s">
        <v>147</v>
      </c>
      <c r="H14" s="16" t="s">
        <v>10</v>
      </c>
      <c r="I14" s="95">
        <f>(C13*C14*I3*COS(C10*PI()/180)/(1+(C13*C14/(C22*C26)))/10^6)</f>
        <v>172.19953203286778</v>
      </c>
      <c r="J14" s="21" t="s">
        <v>6</v>
      </c>
      <c r="L14" s="103" t="s">
        <v>121</v>
      </c>
      <c r="M14" s="104">
        <v>0.61</v>
      </c>
    </row>
    <row r="15" spans="1:21" ht="16.2" thickBot="1" x14ac:dyDescent="0.35">
      <c r="A15" s="60" t="s">
        <v>4</v>
      </c>
      <c r="B15" s="61"/>
      <c r="C15" s="61"/>
      <c r="D15" s="62"/>
      <c r="G15" s="7" t="s">
        <v>48</v>
      </c>
      <c r="H15" s="37" t="s">
        <v>49</v>
      </c>
      <c r="I15" s="96">
        <f>4*C23*(C24-1)/(1-2*C25)</f>
        <v>1280.2333333333333</v>
      </c>
      <c r="J15" s="22" t="s">
        <v>6</v>
      </c>
      <c r="L15" s="105" t="s">
        <v>123</v>
      </c>
      <c r="M15" s="104">
        <v>0.8</v>
      </c>
    </row>
    <row r="16" spans="1:21" ht="16.2" x14ac:dyDescent="0.35">
      <c r="A16" s="6" t="s">
        <v>78</v>
      </c>
      <c r="B16" s="2" t="s">
        <v>76</v>
      </c>
      <c r="C16" s="2">
        <v>0.1</v>
      </c>
      <c r="D16" s="21" t="s">
        <v>75</v>
      </c>
      <c r="G16" s="60" t="s">
        <v>111</v>
      </c>
      <c r="H16" s="61"/>
      <c r="I16" s="61"/>
      <c r="J16" s="62"/>
      <c r="L16" s="103" t="s">
        <v>124</v>
      </c>
      <c r="M16" s="104">
        <v>0.51</v>
      </c>
      <c r="N16" s="89"/>
      <c r="O16" s="89"/>
    </row>
    <row r="17" spans="1:15" ht="17.399999999999999" thickBot="1" x14ac:dyDescent="0.4">
      <c r="A17" s="7" t="s">
        <v>112</v>
      </c>
      <c r="B17" s="8" t="s">
        <v>91</v>
      </c>
      <c r="C17" s="8">
        <v>0.3</v>
      </c>
      <c r="D17" s="22" t="s">
        <v>90</v>
      </c>
      <c r="G17" s="6" t="s">
        <v>70</v>
      </c>
      <c r="H17" s="5" t="s">
        <v>24</v>
      </c>
      <c r="I17" s="98">
        <f>73.3*(I18*10^-6)*C22*((I4^-6)^3)*(I14/I15)^4</f>
        <v>1.4135677247005603E-11</v>
      </c>
      <c r="J17" s="21" t="s">
        <v>65</v>
      </c>
      <c r="L17" s="106" t="str">
        <f>D18</f>
        <v>Rounded (0.98)</v>
      </c>
      <c r="M17" s="42">
        <f>VLOOKUP(D18,L13:M16,2,FALSE)</f>
        <v>0.98</v>
      </c>
      <c r="N17" s="89"/>
      <c r="O17" s="89"/>
    </row>
    <row r="18" spans="1:15" ht="16.8" thickBot="1" x14ac:dyDescent="0.4">
      <c r="A18" s="92" t="s">
        <v>158</v>
      </c>
      <c r="B18" s="93"/>
      <c r="C18" s="94"/>
      <c r="D18" s="48" t="s">
        <v>122</v>
      </c>
      <c r="G18" s="6" t="s">
        <v>156</v>
      </c>
      <c r="H18" s="15" t="s">
        <v>144</v>
      </c>
      <c r="I18" s="98">
        <f>(I9*(10^15)/60)/I5</f>
        <v>73120501597.874146</v>
      </c>
      <c r="J18" s="21" t="s">
        <v>71</v>
      </c>
    </row>
    <row r="19" spans="1:15" ht="16.8" thickBot="1" x14ac:dyDescent="0.4">
      <c r="G19" s="6" t="s">
        <v>157</v>
      </c>
      <c r="H19" s="15" t="s">
        <v>98</v>
      </c>
      <c r="I19" s="95">
        <f>I17*I18</f>
        <v>1.0336078107267064</v>
      </c>
      <c r="J19" s="21" t="s">
        <v>73</v>
      </c>
    </row>
    <row r="20" spans="1:15" ht="15.6" x14ac:dyDescent="0.3">
      <c r="A20" s="56" t="s">
        <v>137</v>
      </c>
      <c r="B20" s="57"/>
      <c r="C20" s="38" t="s">
        <v>136</v>
      </c>
      <c r="D20" s="38" t="s">
        <v>138</v>
      </c>
      <c r="E20" s="54" t="s">
        <v>56</v>
      </c>
      <c r="G20" s="6" t="s">
        <v>155</v>
      </c>
      <c r="H20" s="19" t="s">
        <v>75</v>
      </c>
      <c r="I20" s="102">
        <f>I12*C16*C22</f>
        <v>1.6257741982327181</v>
      </c>
      <c r="J20" s="43" t="s">
        <v>77</v>
      </c>
    </row>
    <row r="21" spans="1:15" ht="15.6" x14ac:dyDescent="0.3">
      <c r="A21" s="58"/>
      <c r="B21" s="59"/>
      <c r="C21" s="31" t="s">
        <v>5</v>
      </c>
      <c r="D21" s="32" t="s">
        <v>30</v>
      </c>
      <c r="E21" s="55"/>
      <c r="G21" s="6" t="s">
        <v>154</v>
      </c>
      <c r="H21" s="16" t="s">
        <v>51</v>
      </c>
      <c r="I21" s="95">
        <f>I20/I19</f>
        <v>1.5729120671888817</v>
      </c>
      <c r="J21" s="21" t="s">
        <v>52</v>
      </c>
    </row>
    <row r="22" spans="1:15" ht="16.8" x14ac:dyDescent="0.35">
      <c r="A22" s="6" t="s">
        <v>9</v>
      </c>
      <c r="B22" s="16" t="s">
        <v>151</v>
      </c>
      <c r="C22" s="2">
        <f>HLOOKUP(C21, Table416[#All],2,FALSE)</f>
        <v>920</v>
      </c>
      <c r="D22" s="2">
        <f>HLOOKUP(D21, Table517[#All],2,FALSE)</f>
        <v>7600</v>
      </c>
      <c r="E22" s="21" t="s">
        <v>45</v>
      </c>
      <c r="G22" s="6" t="s">
        <v>87</v>
      </c>
      <c r="H22" s="15" t="s">
        <v>95</v>
      </c>
      <c r="I22" s="95">
        <f>C11/I21</f>
        <v>9.5364517272781141E-2</v>
      </c>
      <c r="J22" s="21" t="s">
        <v>16</v>
      </c>
    </row>
    <row r="23" spans="1:15" ht="18" x14ac:dyDescent="0.4">
      <c r="A23" s="6" t="s">
        <v>36</v>
      </c>
      <c r="B23" s="15" t="s">
        <v>1</v>
      </c>
      <c r="C23" s="2">
        <f>HLOOKUP(C21, Table416[#All],3,FALSE)</f>
        <v>9.65</v>
      </c>
      <c r="D23" s="2">
        <f>HLOOKUP(D21, Table517[#All],3,FALSE)</f>
        <v>593</v>
      </c>
      <c r="E23" s="21" t="s">
        <v>6</v>
      </c>
      <c r="G23" s="6" t="s">
        <v>93</v>
      </c>
      <c r="H23" s="5" t="s">
        <v>96</v>
      </c>
      <c r="I23" s="95">
        <f>C17/I12*I20</f>
        <v>27.6</v>
      </c>
      <c r="J23" s="21" t="s">
        <v>77</v>
      </c>
    </row>
    <row r="24" spans="1:15" ht="16.8" thickBot="1" x14ac:dyDescent="0.4">
      <c r="A24" s="6" t="s">
        <v>86</v>
      </c>
      <c r="B24" s="5" t="s">
        <v>8</v>
      </c>
      <c r="C24" s="2">
        <f>HLOOKUP(C21, Table416[#All],4,FALSE)</f>
        <v>20.9</v>
      </c>
      <c r="D24" s="2">
        <f>HLOOKUP(D21, Table517[#All],4,FALSE)</f>
        <v>20.9</v>
      </c>
      <c r="E24" s="21" t="s">
        <v>7</v>
      </c>
      <c r="G24" s="44" t="s">
        <v>94</v>
      </c>
      <c r="H24" s="45" t="s">
        <v>99</v>
      </c>
      <c r="I24" s="97">
        <f>C17/I12*I21+I21</f>
        <v>28.275496658335751</v>
      </c>
      <c r="J24" s="46" t="s">
        <v>52</v>
      </c>
    </row>
    <row r="25" spans="1:15" ht="18" x14ac:dyDescent="0.4">
      <c r="A25" s="6" t="s">
        <v>37</v>
      </c>
      <c r="B25" s="15" t="s">
        <v>152</v>
      </c>
      <c r="C25" s="2">
        <f>HLOOKUP(C21, Table416[#All],5,FALSE)</f>
        <v>0.2</v>
      </c>
      <c r="D25" s="2">
        <f>HLOOKUP(D21, Table517[#All],5,FALSE)</f>
        <v>0.3</v>
      </c>
      <c r="E25" s="21" t="s">
        <v>7</v>
      </c>
      <c r="G25" s="60" t="s">
        <v>59</v>
      </c>
      <c r="H25" s="61"/>
      <c r="I25" s="61"/>
      <c r="J25" s="62"/>
    </row>
    <row r="26" spans="1:15" ht="18.600000000000001" thickBot="1" x14ac:dyDescent="0.45">
      <c r="A26" s="7" t="s">
        <v>31</v>
      </c>
      <c r="B26" s="37" t="s">
        <v>153</v>
      </c>
      <c r="C26" s="8">
        <f>HLOOKUP(C21, Table416[#All],6,FALSE)</f>
        <v>1473</v>
      </c>
      <c r="D26" s="8">
        <f>HLOOKUP(D21, Table517[#All],6,FALSE)</f>
        <v>5182</v>
      </c>
      <c r="E26" s="22" t="s">
        <v>16</v>
      </c>
      <c r="G26" s="6" t="s">
        <v>50</v>
      </c>
      <c r="H26" s="5" t="s">
        <v>54</v>
      </c>
      <c r="I26" s="47" t="str">
        <f>IF((I15/I14)&gt;8, "Pass", "Fail")</f>
        <v>Fail</v>
      </c>
      <c r="J26" s="21"/>
    </row>
    <row r="27" spans="1:15" ht="15.6" x14ac:dyDescent="0.35">
      <c r="G27" s="6" t="s">
        <v>63</v>
      </c>
      <c r="H27" s="5" t="s">
        <v>143</v>
      </c>
      <c r="I27" s="98" t="str">
        <f>IF(I26="pass", (8.9/(I4*10^-6)^2)*((I15/I14)^5.7), "Not applicable")</f>
        <v>Not applicable</v>
      </c>
      <c r="J27" s="21" t="s">
        <v>53</v>
      </c>
    </row>
    <row r="28" spans="1:15" ht="15.6" x14ac:dyDescent="0.35">
      <c r="G28" s="6" t="s">
        <v>132</v>
      </c>
      <c r="H28" s="2" t="s">
        <v>142</v>
      </c>
      <c r="I28" s="98" t="str">
        <f>IF(I26="pass",C11*I27, "Not applicable")</f>
        <v>Not applicable</v>
      </c>
      <c r="J28" s="21" t="s">
        <v>52</v>
      </c>
    </row>
    <row r="29" spans="1:15" x14ac:dyDescent="0.3">
      <c r="G29" s="6" t="s">
        <v>64</v>
      </c>
      <c r="H29" s="2" t="s">
        <v>51</v>
      </c>
      <c r="I29" s="98" t="str">
        <f>IF(I26="pass", I28/I18, "Not applicable")</f>
        <v>Not applicable</v>
      </c>
      <c r="J29" s="21" t="s">
        <v>52</v>
      </c>
    </row>
    <row r="30" spans="1:15" ht="15" thickBot="1" x14ac:dyDescent="0.35">
      <c r="G30" s="44" t="s">
        <v>64</v>
      </c>
      <c r="H30" s="29" t="s">
        <v>51</v>
      </c>
      <c r="I30" s="99" t="str">
        <f>IF(I26="pass", I29*0.000277778, "Not applicable")</f>
        <v>Not applicable</v>
      </c>
      <c r="J30" s="46" t="s">
        <v>130</v>
      </c>
    </row>
    <row r="31" spans="1:15" ht="15.6" x14ac:dyDescent="0.3">
      <c r="G31" s="60" t="s">
        <v>58</v>
      </c>
      <c r="H31" s="61"/>
      <c r="I31" s="61"/>
      <c r="J31" s="62"/>
    </row>
    <row r="32" spans="1:15" x14ac:dyDescent="0.3">
      <c r="G32" s="6" t="s">
        <v>128</v>
      </c>
      <c r="H32" s="5" t="s">
        <v>10</v>
      </c>
      <c r="I32" s="98">
        <f>(C13*C14*I3*COS(C10*PI()/180)/(1+(C13*C14/(D22*D26)))/10^6)</f>
        <v>345.27599105654605</v>
      </c>
      <c r="J32" s="21" t="s">
        <v>6</v>
      </c>
    </row>
    <row r="33" spans="7:10" ht="15.6" x14ac:dyDescent="0.3">
      <c r="G33" s="6" t="s">
        <v>129</v>
      </c>
      <c r="H33" s="15" t="s">
        <v>49</v>
      </c>
      <c r="I33" s="98">
        <f>4*D23*(D24-1)/(1-2*D25)</f>
        <v>118006.99999999999</v>
      </c>
      <c r="J33" s="21" t="s">
        <v>6</v>
      </c>
    </row>
    <row r="34" spans="7:10" ht="15.6" x14ac:dyDescent="0.3">
      <c r="G34" s="6" t="s">
        <v>50</v>
      </c>
      <c r="H34" s="15" t="s">
        <v>54</v>
      </c>
      <c r="I34" s="100" t="str">
        <f>IF((I33/I32)&gt;8,"Pass","Fail")</f>
        <v>Pass</v>
      </c>
      <c r="J34" s="21"/>
    </row>
    <row r="35" spans="7:10" ht="15.6" x14ac:dyDescent="0.35">
      <c r="G35" s="6" t="s">
        <v>63</v>
      </c>
      <c r="H35" s="5" t="s">
        <v>143</v>
      </c>
      <c r="I35" s="98">
        <f>IF(I34="pass", (8.9/(I4*10^-6)^2)*((I33/I32)^5.7), "Not applicable")</f>
        <v>3.1363796459962231E+25</v>
      </c>
      <c r="J35" s="21" t="s">
        <v>60</v>
      </c>
    </row>
    <row r="36" spans="7:10" ht="15.6" x14ac:dyDescent="0.35">
      <c r="G36" s="6" t="s">
        <v>132</v>
      </c>
      <c r="H36" s="2" t="s">
        <v>142</v>
      </c>
      <c r="I36" s="98">
        <f>IF(I34="pass",C11*I35, "Not applicable")</f>
        <v>4.7045694689943343E+24</v>
      </c>
      <c r="J36" s="21" t="s">
        <v>131</v>
      </c>
    </row>
    <row r="37" spans="7:10" x14ac:dyDescent="0.3">
      <c r="G37" s="6" t="s">
        <v>64</v>
      </c>
      <c r="H37" s="5" t="s">
        <v>51</v>
      </c>
      <c r="I37" s="98">
        <f>IF(I34="pass", I36/I18, "not applicable")</f>
        <v>64339950714056.805</v>
      </c>
      <c r="J37" s="21" t="s">
        <v>52</v>
      </c>
    </row>
    <row r="38" spans="7:10" ht="15" thickBot="1" x14ac:dyDescent="0.35">
      <c r="G38" s="7" t="s">
        <v>64</v>
      </c>
      <c r="H38" s="9" t="s">
        <v>51</v>
      </c>
      <c r="I38" s="101">
        <f>IF(I34="pass", I37*0.000277778, "Not applicable")</f>
        <v>17872222829.449272</v>
      </c>
      <c r="J38" s="22" t="s">
        <v>130</v>
      </c>
    </row>
  </sheetData>
  <dataConsolidate>
    <dataRefs count="2">
      <dataRef ref="L4:M7" sheet="Setup 1"/>
      <dataRef ref="C9" sheet="Setup 1"/>
    </dataRefs>
  </dataConsolidate>
  <mergeCells count="17">
    <mergeCell ref="A18:C18"/>
    <mergeCell ref="A20:B21"/>
    <mergeCell ref="E20:E21"/>
    <mergeCell ref="G25:J25"/>
    <mergeCell ref="G31:J31"/>
    <mergeCell ref="A3:A4"/>
    <mergeCell ref="L11:M11"/>
    <mergeCell ref="A12:D12"/>
    <mergeCell ref="G13:J13"/>
    <mergeCell ref="A15:D15"/>
    <mergeCell ref="G16:J16"/>
    <mergeCell ref="A1:D1"/>
    <mergeCell ref="G1:J1"/>
    <mergeCell ref="L1:U1"/>
    <mergeCell ref="A2:D2"/>
    <mergeCell ref="L2:P2"/>
    <mergeCell ref="Q2:U2"/>
  </mergeCells>
  <dataValidations disablePrompts="1" count="3">
    <dataValidation type="list" allowBlank="1" showInputMessage="1" showErrorMessage="1" sqref="D18" xr:uid="{28C7F82F-78B0-487E-919A-9DAFEC9D4F4B}">
      <formula1>$L$13:$L$17</formula1>
    </dataValidation>
    <dataValidation type="list" allowBlank="1" showInputMessage="1" showErrorMessage="1" sqref="D21" xr:uid="{CA419F0F-4CF7-4A47-A9EB-30BB86149865}">
      <formula1>$Q$3:$T$3</formula1>
    </dataValidation>
    <dataValidation type="list" allowBlank="1" showInputMessage="1" showErrorMessage="1" sqref="C21" xr:uid="{D912B572-80D2-4B27-A5C5-29BA1E755B73}">
      <formula1>$N$3:$P$3</formula1>
    </dataValidation>
  </dataValidations>
  <pageMargins left="0.7" right="0.7" top="0.75" bottom="0.75" header="0.3" footer="0.3"/>
  <pageSetup orientation="portrait" r:id="rId1"/>
  <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EDB88-F3B1-470A-8355-5DFDF939A359}">
  <dimension ref="A1:U38"/>
  <sheetViews>
    <sheetView tabSelected="1" zoomScale="70" zoomScaleNormal="70" workbookViewId="0">
      <selection activeCell="C5" sqref="C5"/>
    </sheetView>
  </sheetViews>
  <sheetFormatPr defaultRowHeight="14.4" x14ac:dyDescent="0.3"/>
  <cols>
    <col min="1" max="1" width="28.88671875" bestFit="1" customWidth="1"/>
    <col min="2" max="2" width="7.88671875" bestFit="1" customWidth="1"/>
    <col min="3" max="3" width="16.21875" bestFit="1" customWidth="1"/>
    <col min="4" max="4" width="21.6640625" customWidth="1"/>
    <col min="5" max="5" width="13.77734375" bestFit="1" customWidth="1"/>
    <col min="6" max="6" width="14.88671875" bestFit="1" customWidth="1"/>
    <col min="7" max="7" width="40.88671875" customWidth="1"/>
    <col min="9" max="9" width="19.109375" customWidth="1"/>
    <col min="10" max="10" width="11.5546875" bestFit="1" customWidth="1"/>
    <col min="12" max="12" width="22.77734375" bestFit="1" customWidth="1"/>
    <col min="13" max="13" width="7.33203125" customWidth="1"/>
    <col min="14" max="14" width="14.33203125" customWidth="1"/>
    <col min="15" max="15" width="18.77734375" customWidth="1"/>
    <col min="16" max="16" width="13.77734375" bestFit="1" customWidth="1"/>
    <col min="18" max="18" width="11" customWidth="1"/>
    <col min="19" max="19" width="9.5546875" customWidth="1"/>
    <col min="20" max="20" width="9.88671875" customWidth="1"/>
    <col min="21" max="21" width="13.77734375" bestFit="1" customWidth="1"/>
  </cols>
  <sheetData>
    <row r="1" spans="1:21" ht="21" x14ac:dyDescent="0.4">
      <c r="A1" s="87" t="s">
        <v>57</v>
      </c>
      <c r="B1" s="88"/>
      <c r="C1" s="88"/>
      <c r="D1" s="90"/>
      <c r="G1" s="51" t="s">
        <v>159</v>
      </c>
      <c r="H1" s="52"/>
      <c r="I1" s="52"/>
      <c r="J1" s="53"/>
      <c r="L1" s="51" t="s">
        <v>3</v>
      </c>
      <c r="M1" s="52"/>
      <c r="N1" s="52"/>
      <c r="O1" s="52"/>
      <c r="P1" s="52"/>
      <c r="Q1" s="52"/>
      <c r="R1" s="52"/>
      <c r="S1" s="52"/>
      <c r="T1" s="52"/>
      <c r="U1" s="53"/>
    </row>
    <row r="2" spans="1:21" ht="16.2" x14ac:dyDescent="0.35">
      <c r="A2" s="85" t="s">
        <v>72</v>
      </c>
      <c r="B2" s="86"/>
      <c r="C2" s="86"/>
      <c r="D2" s="91"/>
      <c r="G2" s="6" t="s">
        <v>117</v>
      </c>
      <c r="H2" s="2" t="s">
        <v>118</v>
      </c>
      <c r="I2" s="95">
        <f>C4*C5*C6</f>
        <v>53.46</v>
      </c>
      <c r="J2" s="21" t="s">
        <v>6</v>
      </c>
      <c r="K2" s="40"/>
      <c r="L2" s="63" t="s">
        <v>139</v>
      </c>
      <c r="M2" s="49"/>
      <c r="N2" s="49"/>
      <c r="O2" s="49"/>
      <c r="P2" s="49"/>
      <c r="Q2" s="49" t="s">
        <v>140</v>
      </c>
      <c r="R2" s="49"/>
      <c r="S2" s="49"/>
      <c r="T2" s="49"/>
      <c r="U2" s="50"/>
    </row>
    <row r="3" spans="1:21" x14ac:dyDescent="0.3">
      <c r="A3" s="64" t="s">
        <v>43</v>
      </c>
      <c r="B3" s="18" t="s">
        <v>83</v>
      </c>
      <c r="C3" s="18" t="s">
        <v>84</v>
      </c>
      <c r="D3" s="39" t="s">
        <v>85</v>
      </c>
      <c r="G3" s="6" t="s">
        <v>146</v>
      </c>
      <c r="H3" s="2" t="s">
        <v>41</v>
      </c>
      <c r="I3" s="95">
        <f>C9*44.71*I2^(1/2)</f>
        <v>310.55802229593911</v>
      </c>
      <c r="J3" s="21" t="s">
        <v>16</v>
      </c>
      <c r="K3" s="107"/>
      <c r="L3" s="33" t="s">
        <v>55</v>
      </c>
      <c r="M3" s="17"/>
      <c r="N3" s="17" t="s">
        <v>5</v>
      </c>
      <c r="O3" s="17" t="s">
        <v>133</v>
      </c>
      <c r="P3" s="17" t="s">
        <v>134</v>
      </c>
      <c r="Q3" s="17" t="s">
        <v>30</v>
      </c>
      <c r="R3" s="17" t="s">
        <v>74</v>
      </c>
      <c r="S3" s="17" t="s">
        <v>135</v>
      </c>
      <c r="T3" s="17" t="s">
        <v>134</v>
      </c>
      <c r="U3" s="34" t="s">
        <v>56</v>
      </c>
    </row>
    <row r="4" spans="1:21" ht="16.8" x14ac:dyDescent="0.35">
      <c r="A4" s="65"/>
      <c r="B4" s="2" t="s">
        <v>44</v>
      </c>
      <c r="C4" s="2">
        <v>66</v>
      </c>
      <c r="D4" s="21" t="s">
        <v>6</v>
      </c>
      <c r="G4" s="6" t="s">
        <v>61</v>
      </c>
      <c r="H4" s="2" t="s">
        <v>62</v>
      </c>
      <c r="I4" s="95">
        <f>'Curve Data'!G5*I3^'Curve Data'!F5</f>
        <v>6.9365348197703884</v>
      </c>
      <c r="J4" s="21" t="s">
        <v>17</v>
      </c>
      <c r="L4" s="6" t="s">
        <v>9</v>
      </c>
      <c r="M4" s="16" t="s">
        <v>0</v>
      </c>
      <c r="N4" s="2">
        <v>920</v>
      </c>
      <c r="O4" s="2">
        <v>3570</v>
      </c>
      <c r="P4" s="28">
        <v>1000</v>
      </c>
      <c r="Q4" s="2">
        <v>7600</v>
      </c>
      <c r="R4" s="2">
        <v>4470</v>
      </c>
      <c r="S4" s="2">
        <v>8100</v>
      </c>
      <c r="T4" s="28">
        <v>3000</v>
      </c>
      <c r="U4" s="21" t="s">
        <v>45</v>
      </c>
    </row>
    <row r="5" spans="1:21" ht="18" x14ac:dyDescent="0.4">
      <c r="A5" s="6" t="s">
        <v>115</v>
      </c>
      <c r="B5" s="2" t="s">
        <v>149</v>
      </c>
      <c r="C5" s="2">
        <v>0.9</v>
      </c>
      <c r="D5" s="21" t="s">
        <v>116</v>
      </c>
      <c r="G5" s="6" t="s">
        <v>66</v>
      </c>
      <c r="H5" s="2" t="s">
        <v>67</v>
      </c>
      <c r="I5" s="95">
        <f>1/6*PI()*I4^3</f>
        <v>174.75368175117026</v>
      </c>
      <c r="J5" s="21" t="s">
        <v>68</v>
      </c>
      <c r="K5" s="40"/>
      <c r="L5" s="6" t="s">
        <v>36</v>
      </c>
      <c r="M5" s="15" t="s">
        <v>1</v>
      </c>
      <c r="N5" s="2">
        <v>9.65</v>
      </c>
      <c r="O5" s="2">
        <v>44</v>
      </c>
      <c r="P5" s="28">
        <v>20</v>
      </c>
      <c r="Q5" s="2">
        <v>593</v>
      </c>
      <c r="R5" s="2">
        <v>221</v>
      </c>
      <c r="S5" s="2">
        <v>221</v>
      </c>
      <c r="T5" s="28">
        <v>500</v>
      </c>
      <c r="U5" s="21" t="s">
        <v>6</v>
      </c>
    </row>
    <row r="6" spans="1:21" ht="16.8" x14ac:dyDescent="0.35">
      <c r="A6" s="6" t="s">
        <v>119</v>
      </c>
      <c r="B6" s="2" t="s">
        <v>148</v>
      </c>
      <c r="C6" s="2">
        <v>0.9</v>
      </c>
      <c r="D6" s="21" t="s">
        <v>116</v>
      </c>
      <c r="G6" s="6" t="s">
        <v>103</v>
      </c>
      <c r="H6" s="2" t="s">
        <v>109</v>
      </c>
      <c r="I6" s="95">
        <f>((C7/2)^2)*PI()*M17</f>
        <v>0.1005309649148734</v>
      </c>
      <c r="J6" s="21" t="s">
        <v>104</v>
      </c>
      <c r="L6" s="6" t="s">
        <v>86</v>
      </c>
      <c r="M6" s="5" t="s">
        <v>8</v>
      </c>
      <c r="N6" s="2">
        <v>20.9</v>
      </c>
      <c r="O6" s="2">
        <v>20.9</v>
      </c>
      <c r="P6" s="28">
        <v>20.9</v>
      </c>
      <c r="Q6" s="2">
        <v>20.9</v>
      </c>
      <c r="R6" s="2">
        <v>20.9</v>
      </c>
      <c r="S6" s="2">
        <v>17.600000000000001</v>
      </c>
      <c r="T6" s="28">
        <v>20.9</v>
      </c>
      <c r="U6" s="21" t="s">
        <v>7</v>
      </c>
    </row>
    <row r="7" spans="1:21" ht="18" x14ac:dyDescent="0.4">
      <c r="A7" s="6" t="s">
        <v>100</v>
      </c>
      <c r="B7" s="2" t="s">
        <v>101</v>
      </c>
      <c r="C7" s="2">
        <v>0.4</v>
      </c>
      <c r="D7" s="21" t="s">
        <v>102</v>
      </c>
      <c r="G7" s="6" t="s">
        <v>105</v>
      </c>
      <c r="H7" s="2" t="s">
        <v>108</v>
      </c>
      <c r="I7" s="95">
        <f>((C8*10^6)/60)/(I3*1000)</f>
        <v>0.53666836694318432</v>
      </c>
      <c r="J7" s="21" t="s">
        <v>104</v>
      </c>
      <c r="L7" s="6" t="s">
        <v>37</v>
      </c>
      <c r="M7" s="15" t="s">
        <v>2</v>
      </c>
      <c r="N7" s="2">
        <v>0.2</v>
      </c>
      <c r="O7" s="2">
        <v>0.2</v>
      </c>
      <c r="P7" s="28">
        <v>0.25</v>
      </c>
      <c r="Q7" s="2">
        <v>0.3</v>
      </c>
      <c r="R7" s="2">
        <v>0.3</v>
      </c>
      <c r="S7" s="2">
        <v>0.3</v>
      </c>
      <c r="T7" s="28">
        <v>0.35</v>
      </c>
      <c r="U7" s="21" t="s">
        <v>7</v>
      </c>
    </row>
    <row r="8" spans="1:21" ht="18" x14ac:dyDescent="0.4">
      <c r="A8" s="6" t="s">
        <v>145</v>
      </c>
      <c r="B8" s="2" t="s">
        <v>40</v>
      </c>
      <c r="C8" s="2">
        <v>10</v>
      </c>
      <c r="D8" s="21" t="s">
        <v>69</v>
      </c>
      <c r="G8" s="6" t="s">
        <v>106</v>
      </c>
      <c r="H8" s="2" t="s">
        <v>107</v>
      </c>
      <c r="I8" s="98">
        <f>ROUNDUP(I7/I6,0)</f>
        <v>6</v>
      </c>
      <c r="J8" s="21"/>
      <c r="L8" s="6" t="s">
        <v>31</v>
      </c>
      <c r="M8" s="15" t="s">
        <v>38</v>
      </c>
      <c r="N8" s="2">
        <v>1473</v>
      </c>
      <c r="O8" s="2">
        <v>9100</v>
      </c>
      <c r="P8" s="28">
        <v>2000</v>
      </c>
      <c r="Q8" s="2">
        <v>5182</v>
      </c>
      <c r="R8" s="2">
        <v>5182</v>
      </c>
      <c r="S8" s="2">
        <v>2390</v>
      </c>
      <c r="T8" s="28">
        <v>4000</v>
      </c>
      <c r="U8" s="21" t="s">
        <v>16</v>
      </c>
    </row>
    <row r="9" spans="1:21" ht="18.600000000000001" thickBot="1" x14ac:dyDescent="0.45">
      <c r="A9" s="6" t="s">
        <v>120</v>
      </c>
      <c r="B9" s="2" t="s">
        <v>39</v>
      </c>
      <c r="C9" s="2">
        <v>0.95</v>
      </c>
      <c r="D9" s="21" t="s">
        <v>7</v>
      </c>
      <c r="G9" s="6" t="s">
        <v>81</v>
      </c>
      <c r="H9" s="2" t="s">
        <v>110</v>
      </c>
      <c r="I9" s="95">
        <f>C8/I8</f>
        <v>1.6666666666666667</v>
      </c>
      <c r="J9" s="21" t="s">
        <v>69</v>
      </c>
      <c r="L9" s="23" t="s">
        <v>35</v>
      </c>
      <c r="M9" s="24" t="s">
        <v>97</v>
      </c>
      <c r="N9" s="25">
        <v>4</v>
      </c>
      <c r="O9" s="26" t="s">
        <v>34</v>
      </c>
      <c r="P9" s="35"/>
      <c r="Q9" s="36" t="s">
        <v>34</v>
      </c>
      <c r="R9" s="36" t="s">
        <v>34</v>
      </c>
      <c r="S9" s="35">
        <v>88</v>
      </c>
      <c r="T9" s="35"/>
      <c r="U9" s="27" t="s">
        <v>6</v>
      </c>
    </row>
    <row r="10" spans="1:21" ht="16.2" thickBot="1" x14ac:dyDescent="0.4">
      <c r="A10" s="6" t="s">
        <v>46</v>
      </c>
      <c r="B10" s="2" t="s">
        <v>42</v>
      </c>
      <c r="C10" s="2">
        <v>0</v>
      </c>
      <c r="D10" s="21" t="s">
        <v>47</v>
      </c>
      <c r="G10" s="30" t="s">
        <v>113</v>
      </c>
      <c r="H10" s="20" t="s">
        <v>114</v>
      </c>
      <c r="I10" s="108">
        <f>(((I6)*(I3*1000))*10^-6)*60</f>
        <v>1.8732418586079314</v>
      </c>
      <c r="J10" s="41" t="s">
        <v>69</v>
      </c>
    </row>
    <row r="11" spans="1:21" ht="16.8" thickBot="1" x14ac:dyDescent="0.4">
      <c r="A11" s="7" t="s">
        <v>89</v>
      </c>
      <c r="B11" s="8" t="s">
        <v>79</v>
      </c>
      <c r="C11" s="8">
        <v>0.1</v>
      </c>
      <c r="D11" s="22" t="s">
        <v>75</v>
      </c>
      <c r="G11" s="6" t="s">
        <v>80</v>
      </c>
      <c r="H11" s="2" t="s">
        <v>150</v>
      </c>
      <c r="I11" s="95">
        <f>(C13*C14*I3)*10^-6</f>
        <v>454.34638661895889</v>
      </c>
      <c r="J11" s="21" t="s">
        <v>6</v>
      </c>
      <c r="L11" s="60" t="s">
        <v>141</v>
      </c>
      <c r="M11" s="62"/>
    </row>
    <row r="12" spans="1:21" ht="17.399999999999999" thickBot="1" x14ac:dyDescent="0.4">
      <c r="A12" s="60" t="s">
        <v>82</v>
      </c>
      <c r="B12" s="61"/>
      <c r="C12" s="61"/>
      <c r="D12" s="62"/>
      <c r="G12" s="6" t="s">
        <v>88</v>
      </c>
      <c r="H12" s="2" t="s">
        <v>92</v>
      </c>
      <c r="I12" s="95">
        <f>PI()/4*C11^2</f>
        <v>7.8539816339744835E-3</v>
      </c>
      <c r="J12" s="21" t="s">
        <v>90</v>
      </c>
      <c r="L12" s="103" t="s">
        <v>126</v>
      </c>
      <c r="M12" s="104" t="s">
        <v>125</v>
      </c>
    </row>
    <row r="13" spans="1:21" ht="16.8" x14ac:dyDescent="0.35">
      <c r="A13" s="6" t="s">
        <v>29</v>
      </c>
      <c r="B13" s="14" t="s">
        <v>33</v>
      </c>
      <c r="C13" s="2">
        <v>1000</v>
      </c>
      <c r="D13" s="21" t="s">
        <v>45</v>
      </c>
      <c r="G13" s="60" t="s">
        <v>127</v>
      </c>
      <c r="H13" s="61"/>
      <c r="I13" s="61"/>
      <c r="J13" s="62"/>
      <c r="L13" s="103" t="s">
        <v>122</v>
      </c>
      <c r="M13" s="104">
        <v>0.98</v>
      </c>
    </row>
    <row r="14" spans="1:21" ht="16.2" thickBot="1" x14ac:dyDescent="0.4">
      <c r="A14" s="7" t="s">
        <v>31</v>
      </c>
      <c r="B14" s="8" t="s">
        <v>32</v>
      </c>
      <c r="C14" s="8">
        <v>1463</v>
      </c>
      <c r="D14" s="22" t="s">
        <v>16</v>
      </c>
      <c r="G14" s="6" t="s">
        <v>147</v>
      </c>
      <c r="H14" s="16" t="s">
        <v>10</v>
      </c>
      <c r="I14" s="95">
        <f>(C13*C14*I3*COS(C10*PI()/180)/(1+(C13*C14/(C22*C26)))/10^6)</f>
        <v>434.76733614403878</v>
      </c>
      <c r="J14" s="21" t="s">
        <v>6</v>
      </c>
      <c r="L14" s="103" t="s">
        <v>121</v>
      </c>
      <c r="M14" s="104">
        <v>0.61</v>
      </c>
    </row>
    <row r="15" spans="1:21" ht="16.2" thickBot="1" x14ac:dyDescent="0.35">
      <c r="A15" s="60" t="s">
        <v>4</v>
      </c>
      <c r="B15" s="61"/>
      <c r="C15" s="61"/>
      <c r="D15" s="62"/>
      <c r="G15" s="7" t="s">
        <v>48</v>
      </c>
      <c r="H15" s="37" t="s">
        <v>49</v>
      </c>
      <c r="I15" s="96">
        <f>4*C23*(C24-1)/(1-2*C25)</f>
        <v>5837.333333333333</v>
      </c>
      <c r="J15" s="22" t="s">
        <v>6</v>
      </c>
      <c r="L15" s="105" t="s">
        <v>123</v>
      </c>
      <c r="M15" s="104">
        <v>0.8</v>
      </c>
    </row>
    <row r="16" spans="1:21" ht="16.2" x14ac:dyDescent="0.35">
      <c r="A16" s="6" t="s">
        <v>78</v>
      </c>
      <c r="B16" s="2" t="s">
        <v>76</v>
      </c>
      <c r="C16" s="2">
        <v>0.05</v>
      </c>
      <c r="D16" s="21" t="s">
        <v>75</v>
      </c>
      <c r="G16" s="60" t="s">
        <v>111</v>
      </c>
      <c r="H16" s="61"/>
      <c r="I16" s="61"/>
      <c r="J16" s="62"/>
      <c r="L16" s="103" t="s">
        <v>124</v>
      </c>
      <c r="M16" s="104">
        <v>0.51</v>
      </c>
      <c r="N16" s="89"/>
      <c r="O16" s="89"/>
    </row>
    <row r="17" spans="1:15" ht="17.399999999999999" thickBot="1" x14ac:dyDescent="0.4">
      <c r="A17" s="7" t="s">
        <v>112</v>
      </c>
      <c r="B17" s="8" t="s">
        <v>91</v>
      </c>
      <c r="C17" s="8">
        <v>0.2</v>
      </c>
      <c r="D17" s="22" t="s">
        <v>90</v>
      </c>
      <c r="G17" s="6" t="s">
        <v>70</v>
      </c>
      <c r="H17" s="5" t="s">
        <v>24</v>
      </c>
      <c r="I17" s="98">
        <f>73.3*(I18*10^-6)*C22*((I4^-6)^3)*(I14/I15)^4</f>
        <v>9.260762391410124E-10</v>
      </c>
      <c r="J17" s="21" t="s">
        <v>65</v>
      </c>
      <c r="L17" s="106" t="str">
        <f>D18</f>
        <v>Short Tube (0.8)</v>
      </c>
      <c r="M17" s="42">
        <f>VLOOKUP(D18,L13:M16,2,FALSE)</f>
        <v>0.8</v>
      </c>
      <c r="N17" s="89"/>
      <c r="O17" s="89"/>
    </row>
    <row r="18" spans="1:15" ht="16.8" thickBot="1" x14ac:dyDescent="0.4">
      <c r="A18" s="92" t="s">
        <v>158</v>
      </c>
      <c r="B18" s="93"/>
      <c r="C18" s="94"/>
      <c r="D18" s="48" t="s">
        <v>123</v>
      </c>
      <c r="G18" s="6" t="s">
        <v>156</v>
      </c>
      <c r="H18" s="15" t="s">
        <v>144</v>
      </c>
      <c r="I18" s="98">
        <f>(I9*(10^15)/60)/I5</f>
        <v>158953891554.22906</v>
      </c>
      <c r="J18" s="21" t="s">
        <v>71</v>
      </c>
    </row>
    <row r="19" spans="1:15" ht="16.8" thickBot="1" x14ac:dyDescent="0.4">
      <c r="G19" s="6" t="s">
        <v>157</v>
      </c>
      <c r="H19" s="15" t="s">
        <v>98</v>
      </c>
      <c r="I19" s="95">
        <f>I17*I18</f>
        <v>147.20342208736878</v>
      </c>
      <c r="J19" s="21" t="s">
        <v>73</v>
      </c>
    </row>
    <row r="20" spans="1:15" ht="15.6" x14ac:dyDescent="0.3">
      <c r="A20" s="56" t="s">
        <v>137</v>
      </c>
      <c r="B20" s="57"/>
      <c r="C20" s="38" t="s">
        <v>136</v>
      </c>
      <c r="D20" s="38" t="s">
        <v>138</v>
      </c>
      <c r="E20" s="54" t="s">
        <v>56</v>
      </c>
      <c r="G20" s="6" t="s">
        <v>155</v>
      </c>
      <c r="H20" s="19" t="s">
        <v>75</v>
      </c>
      <c r="I20" s="102">
        <f>I12*C16*C22</f>
        <v>1.4019357216644455</v>
      </c>
      <c r="J20" s="43" t="s">
        <v>77</v>
      </c>
    </row>
    <row r="21" spans="1:15" ht="15.6" x14ac:dyDescent="0.3">
      <c r="A21" s="58"/>
      <c r="B21" s="59"/>
      <c r="C21" s="31" t="s">
        <v>133</v>
      </c>
      <c r="D21" s="32" t="s">
        <v>135</v>
      </c>
      <c r="E21" s="55"/>
      <c r="G21" s="6" t="s">
        <v>154</v>
      </c>
      <c r="H21" s="16" t="s">
        <v>51</v>
      </c>
      <c r="I21" s="95">
        <f>I20/I19</f>
        <v>9.523798440177313E-3</v>
      </c>
      <c r="J21" s="21" t="s">
        <v>52</v>
      </c>
    </row>
    <row r="22" spans="1:15" ht="16.8" x14ac:dyDescent="0.35">
      <c r="A22" s="6" t="s">
        <v>9</v>
      </c>
      <c r="B22" s="16" t="s">
        <v>151</v>
      </c>
      <c r="C22" s="2">
        <f>HLOOKUP(C21, Table41619[#All],2,FALSE)</f>
        <v>3570</v>
      </c>
      <c r="D22" s="2">
        <f>HLOOKUP(D21, Table51720[#All],2,FALSE)</f>
        <v>8100</v>
      </c>
      <c r="E22" s="21" t="s">
        <v>45</v>
      </c>
      <c r="G22" s="6" t="s">
        <v>87</v>
      </c>
      <c r="H22" s="15" t="s">
        <v>95</v>
      </c>
      <c r="I22" s="95">
        <f>C11/I21</f>
        <v>10.500012219718734</v>
      </c>
      <c r="J22" s="21" t="s">
        <v>16</v>
      </c>
    </row>
    <row r="23" spans="1:15" ht="18" x14ac:dyDescent="0.4">
      <c r="A23" s="6" t="s">
        <v>36</v>
      </c>
      <c r="B23" s="15" t="s">
        <v>1</v>
      </c>
      <c r="C23" s="2">
        <f>HLOOKUP(C21, Table41619[#All],3,FALSE)</f>
        <v>44</v>
      </c>
      <c r="D23" s="2">
        <f>HLOOKUP(D21, Table51720[#All],3,FALSE)</f>
        <v>221</v>
      </c>
      <c r="E23" s="21" t="s">
        <v>6</v>
      </c>
      <c r="G23" s="6" t="s">
        <v>93</v>
      </c>
      <c r="H23" s="5" t="s">
        <v>96</v>
      </c>
      <c r="I23" s="95">
        <f>C17/I12*I20</f>
        <v>35.700000000000003</v>
      </c>
      <c r="J23" s="21" t="s">
        <v>77</v>
      </c>
    </row>
    <row r="24" spans="1:15" ht="16.8" thickBot="1" x14ac:dyDescent="0.4">
      <c r="A24" s="6" t="s">
        <v>86</v>
      </c>
      <c r="B24" s="5" t="s">
        <v>8</v>
      </c>
      <c r="C24" s="2">
        <f>HLOOKUP(C21, Table41619[#All],4,FALSE)</f>
        <v>20.9</v>
      </c>
      <c r="D24" s="2">
        <f>HLOOKUP(D21, Table51720[#All],4,FALSE)</f>
        <v>17.600000000000001</v>
      </c>
      <c r="E24" s="21" t="s">
        <v>7</v>
      </c>
      <c r="G24" s="44" t="s">
        <v>94</v>
      </c>
      <c r="H24" s="45" t="s">
        <v>99</v>
      </c>
      <c r="I24" s="97">
        <f>C17/I12*I21+I21</f>
        <v>0.25204533424259362</v>
      </c>
      <c r="J24" s="46" t="s">
        <v>52</v>
      </c>
    </row>
    <row r="25" spans="1:15" ht="18" x14ac:dyDescent="0.4">
      <c r="A25" s="6" t="s">
        <v>37</v>
      </c>
      <c r="B25" s="15" t="s">
        <v>152</v>
      </c>
      <c r="C25" s="2">
        <f>HLOOKUP(C21, Table41619[#All],5,FALSE)</f>
        <v>0.2</v>
      </c>
      <c r="D25" s="2">
        <f>HLOOKUP(D21, Table51720[#All],5,FALSE)</f>
        <v>0.3</v>
      </c>
      <c r="E25" s="21" t="s">
        <v>7</v>
      </c>
      <c r="G25" s="60" t="s">
        <v>59</v>
      </c>
      <c r="H25" s="61"/>
      <c r="I25" s="61"/>
      <c r="J25" s="62"/>
    </row>
    <row r="26" spans="1:15" ht="18.600000000000001" thickBot="1" x14ac:dyDescent="0.45">
      <c r="A26" s="7" t="s">
        <v>31</v>
      </c>
      <c r="B26" s="37" t="s">
        <v>153</v>
      </c>
      <c r="C26" s="8">
        <f>HLOOKUP(C21, Table41619[#All],6,FALSE)</f>
        <v>9100</v>
      </c>
      <c r="D26" s="8">
        <f>HLOOKUP(D21, Table51720[#All],6,FALSE)</f>
        <v>2390</v>
      </c>
      <c r="E26" s="22" t="s">
        <v>16</v>
      </c>
      <c r="G26" s="6" t="s">
        <v>50</v>
      </c>
      <c r="H26" s="5" t="s">
        <v>54</v>
      </c>
      <c r="I26" s="47" t="str">
        <f>IF((I15/I14)&gt;8, "Pass", "Fail")</f>
        <v>Pass</v>
      </c>
      <c r="J26" s="21"/>
    </row>
    <row r="27" spans="1:15" ht="15.6" x14ac:dyDescent="0.35">
      <c r="G27" s="6" t="s">
        <v>63</v>
      </c>
      <c r="H27" s="5" t="s">
        <v>143</v>
      </c>
      <c r="I27" s="98">
        <f>IF(I26="pass", (8.9/(I4*10^-6)^2)*((I15/I14)^5.7), "Not applicable")</f>
        <v>4.9712213698795341E+17</v>
      </c>
      <c r="J27" s="21" t="s">
        <v>53</v>
      </c>
    </row>
    <row r="28" spans="1:15" ht="15.6" x14ac:dyDescent="0.35">
      <c r="G28" s="6" t="s">
        <v>132</v>
      </c>
      <c r="H28" s="2" t="s">
        <v>142</v>
      </c>
      <c r="I28" s="98">
        <f>IF(I26="pass",C11*I27, "Not applicable")</f>
        <v>4.9712213698795344E+16</v>
      </c>
      <c r="J28" s="21" t="s">
        <v>52</v>
      </c>
    </row>
    <row r="29" spans="1:15" x14ac:dyDescent="0.3">
      <c r="G29" s="6" t="s">
        <v>64</v>
      </c>
      <c r="H29" s="2" t="s">
        <v>51</v>
      </c>
      <c r="I29" s="98">
        <f>IF(I26="pass", I28/I18, "Not applicable")</f>
        <v>312746.12538715615</v>
      </c>
      <c r="J29" s="21" t="s">
        <v>52</v>
      </c>
    </row>
    <row r="30" spans="1:15" ht="15" thickBot="1" x14ac:dyDescent="0.35">
      <c r="G30" s="44" t="s">
        <v>64</v>
      </c>
      <c r="H30" s="29" t="s">
        <v>51</v>
      </c>
      <c r="I30" s="99">
        <f>IF(I26="pass", I29*0.000277778, "Not applicable")</f>
        <v>86.873993217793469</v>
      </c>
      <c r="J30" s="46" t="s">
        <v>130</v>
      </c>
    </row>
    <row r="31" spans="1:15" ht="15.6" x14ac:dyDescent="0.3">
      <c r="G31" s="60" t="s">
        <v>58</v>
      </c>
      <c r="H31" s="61"/>
      <c r="I31" s="61"/>
      <c r="J31" s="62"/>
    </row>
    <row r="32" spans="1:15" x14ac:dyDescent="0.3">
      <c r="G32" s="6" t="s">
        <v>128</v>
      </c>
      <c r="H32" s="5" t="s">
        <v>10</v>
      </c>
      <c r="I32" s="98">
        <f>(C13*C14*I3*COS(C10*PI()/180)/(1+(C13*C14/(D22*D26)))/10^6)</f>
        <v>422.42299964251396</v>
      </c>
      <c r="J32" s="21" t="s">
        <v>6</v>
      </c>
    </row>
    <row r="33" spans="7:10" ht="15.6" x14ac:dyDescent="0.3">
      <c r="G33" s="6" t="s">
        <v>129</v>
      </c>
      <c r="H33" s="15" t="s">
        <v>49</v>
      </c>
      <c r="I33" s="98">
        <f>4*D23*(D24-1)/(1-2*D25)</f>
        <v>36686</v>
      </c>
      <c r="J33" s="21" t="s">
        <v>6</v>
      </c>
    </row>
    <row r="34" spans="7:10" ht="15.6" x14ac:dyDescent="0.3">
      <c r="G34" s="6" t="s">
        <v>50</v>
      </c>
      <c r="H34" s="15" t="s">
        <v>54</v>
      </c>
      <c r="I34" s="100" t="str">
        <f>IF((I33/I32)&gt;8,"Pass","Fail")</f>
        <v>Pass</v>
      </c>
      <c r="J34" s="21"/>
    </row>
    <row r="35" spans="7:10" ht="15.6" x14ac:dyDescent="0.35">
      <c r="G35" s="6" t="s">
        <v>63</v>
      </c>
      <c r="H35" s="5" t="s">
        <v>143</v>
      </c>
      <c r="I35" s="98">
        <f>IF(I34="pass", (8.9/(I4*10^-6)^2)*((I33/I32)^5.7), "Not applicable")</f>
        <v>2.0796768473043115E+22</v>
      </c>
      <c r="J35" s="21" t="s">
        <v>60</v>
      </c>
    </row>
    <row r="36" spans="7:10" ht="15.6" x14ac:dyDescent="0.35">
      <c r="G36" s="6" t="s">
        <v>132</v>
      </c>
      <c r="H36" s="2" t="s">
        <v>142</v>
      </c>
      <c r="I36" s="98">
        <f>IF(I34="pass",C11*I35, "Not applicable")</f>
        <v>2.0796768473043116E+21</v>
      </c>
      <c r="J36" s="21" t="s">
        <v>131</v>
      </c>
    </row>
    <row r="37" spans="7:10" x14ac:dyDescent="0.3">
      <c r="G37" s="6" t="s">
        <v>64</v>
      </c>
      <c r="H37" s="5" t="s">
        <v>51</v>
      </c>
      <c r="I37" s="98">
        <f>IF(I34="pass", I36/I18, "not applicable")</f>
        <v>13083522693.087412</v>
      </c>
      <c r="J37" s="21" t="s">
        <v>52</v>
      </c>
    </row>
    <row r="38" spans="7:10" ht="15" thickBot="1" x14ac:dyDescent="0.35">
      <c r="G38" s="7" t="s">
        <v>64</v>
      </c>
      <c r="H38" s="9" t="s">
        <v>51</v>
      </c>
      <c r="I38" s="101">
        <f>IF(I34="pass", I37*0.000277778, "Not applicable")</f>
        <v>3634314.7666404354</v>
      </c>
      <c r="J38" s="22" t="s">
        <v>130</v>
      </c>
    </row>
  </sheetData>
  <dataConsolidate>
    <dataRefs count="2">
      <dataRef ref="L4:M7" sheet="Setup 1"/>
      <dataRef ref="C9" sheet="Setup 1"/>
    </dataRefs>
  </dataConsolidate>
  <mergeCells count="17">
    <mergeCell ref="A18:C18"/>
    <mergeCell ref="A20:B21"/>
    <mergeCell ref="E20:E21"/>
    <mergeCell ref="G25:J25"/>
    <mergeCell ref="G31:J31"/>
    <mergeCell ref="A3:A4"/>
    <mergeCell ref="L11:M11"/>
    <mergeCell ref="A12:D12"/>
    <mergeCell ref="G13:J13"/>
    <mergeCell ref="A15:D15"/>
    <mergeCell ref="G16:J16"/>
    <mergeCell ref="A1:D1"/>
    <mergeCell ref="G1:J1"/>
    <mergeCell ref="L1:U1"/>
    <mergeCell ref="A2:D2"/>
    <mergeCell ref="L2:P2"/>
    <mergeCell ref="Q2:U2"/>
  </mergeCells>
  <dataValidations disablePrompts="1" count="3">
    <dataValidation type="list" allowBlank="1" showInputMessage="1" showErrorMessage="1" sqref="C21" xr:uid="{2F492C04-DFA8-4B21-82F5-E96A780B9184}">
      <formula1>$N$3:$P$3</formula1>
    </dataValidation>
    <dataValidation type="list" allowBlank="1" showInputMessage="1" showErrorMessage="1" sqref="D21" xr:uid="{2DA2328C-AEA7-4EC8-9559-017E88F24F17}">
      <formula1>$Q$3:$T$3</formula1>
    </dataValidation>
    <dataValidation type="list" allowBlank="1" showInputMessage="1" showErrorMessage="1" sqref="D18" xr:uid="{0C6FFE1D-CD10-4382-8DDF-F7C9CC096D1E}">
      <formula1>$L$13:$L$17</formula1>
    </dataValidation>
  </dataValidations>
  <pageMargins left="0.7" right="0.7" top="0.75" bottom="0.75" header="0.3" footer="0.3"/>
  <pageSetup orientation="portrait" r:id="rId1"/>
  <drawing r:id="rId2"/>
  <tableParts count="3"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02163-7E6E-4B05-B434-2964E838EDEB}">
  <sheetPr codeName="Sheet3"/>
  <dimension ref="A1:E20"/>
  <sheetViews>
    <sheetView zoomScale="70" zoomScaleNormal="70" workbookViewId="0">
      <selection activeCell="B14" sqref="B14"/>
    </sheetView>
  </sheetViews>
  <sheetFormatPr defaultRowHeight="14.4" x14ac:dyDescent="0.3"/>
  <cols>
    <col min="1" max="1" width="5.77734375" customWidth="1"/>
    <col min="2" max="2" width="12.44140625" customWidth="1"/>
    <col min="3" max="3" width="5.77734375" customWidth="1"/>
    <col min="4" max="4" width="10.77734375" customWidth="1"/>
    <col min="5" max="6" width="5.77734375" customWidth="1"/>
    <col min="8" max="8" width="16.88671875" customWidth="1"/>
    <col min="9" max="9" width="12.21875" customWidth="1"/>
    <col min="10" max="10" width="11" bestFit="1" customWidth="1"/>
  </cols>
  <sheetData>
    <row r="1" spans="1:5" ht="15" thickBot="1" x14ac:dyDescent="0.35"/>
    <row r="2" spans="1:5" ht="16.2" thickBot="1" x14ac:dyDescent="0.4">
      <c r="A2" s="73" t="s">
        <v>20</v>
      </c>
      <c r="B2" s="74"/>
      <c r="C2" s="74"/>
      <c r="D2" s="74"/>
      <c r="E2" s="75"/>
    </row>
    <row r="3" spans="1:5" ht="27" customHeight="1" x14ac:dyDescent="0.3">
      <c r="A3" s="76" t="s">
        <v>19</v>
      </c>
      <c r="B3" s="80" t="s">
        <v>14</v>
      </c>
      <c r="C3" s="80"/>
      <c r="D3" s="80" t="s">
        <v>12</v>
      </c>
      <c r="E3" s="81"/>
    </row>
    <row r="4" spans="1:5" ht="15.6" x14ac:dyDescent="0.35">
      <c r="A4" s="77"/>
      <c r="B4" s="72" t="s">
        <v>15</v>
      </c>
      <c r="C4" s="72"/>
      <c r="D4" s="70" t="s">
        <v>13</v>
      </c>
      <c r="E4" s="71"/>
    </row>
    <row r="5" spans="1:5" ht="28.8" customHeight="1" x14ac:dyDescent="0.3">
      <c r="A5" s="6">
        <v>1</v>
      </c>
      <c r="B5" s="3">
        <v>800</v>
      </c>
      <c r="C5" s="83" t="s">
        <v>16</v>
      </c>
      <c r="D5" s="2">
        <v>2.536</v>
      </c>
      <c r="E5" s="78" t="s">
        <v>17</v>
      </c>
    </row>
    <row r="6" spans="1:5" x14ac:dyDescent="0.3">
      <c r="A6" s="6">
        <v>2</v>
      </c>
      <c r="B6" s="2">
        <v>752.71</v>
      </c>
      <c r="C6" s="83"/>
      <c r="D6" s="2">
        <v>2.7709999999999999</v>
      </c>
      <c r="E6" s="78"/>
    </row>
    <row r="7" spans="1:5" x14ac:dyDescent="0.3">
      <c r="A7" s="6">
        <v>3</v>
      </c>
      <c r="B7" s="2">
        <v>685.71</v>
      </c>
      <c r="C7" s="83"/>
      <c r="D7" s="2">
        <v>3.302</v>
      </c>
      <c r="E7" s="78"/>
    </row>
    <row r="8" spans="1:5" x14ac:dyDescent="0.3">
      <c r="A8" s="6">
        <v>4</v>
      </c>
      <c r="B8" s="2">
        <v>614.78</v>
      </c>
      <c r="C8" s="83"/>
      <c r="D8" s="2">
        <v>4.01</v>
      </c>
      <c r="E8" s="78"/>
    </row>
    <row r="9" spans="1:5" x14ac:dyDescent="0.3">
      <c r="A9" s="6">
        <v>5</v>
      </c>
      <c r="B9" s="2">
        <v>532.02</v>
      </c>
      <c r="C9" s="83"/>
      <c r="D9" s="2">
        <v>5.5430000000000001</v>
      </c>
      <c r="E9" s="78"/>
    </row>
    <row r="10" spans="1:5" x14ac:dyDescent="0.3">
      <c r="A10" s="6">
        <v>6</v>
      </c>
      <c r="B10" s="2">
        <v>431.53</v>
      </c>
      <c r="C10" s="83"/>
      <c r="D10" s="2">
        <v>8.43</v>
      </c>
      <c r="E10" s="78"/>
    </row>
    <row r="11" spans="1:5" ht="15" thickBot="1" x14ac:dyDescent="0.35">
      <c r="A11" s="7">
        <v>7</v>
      </c>
      <c r="B11" s="8">
        <v>307.39</v>
      </c>
      <c r="C11" s="84"/>
      <c r="D11" s="8">
        <v>16.63</v>
      </c>
      <c r="E11" s="79"/>
    </row>
    <row r="12" spans="1:5" ht="27" customHeight="1" x14ac:dyDescent="0.3">
      <c r="A12" s="76" t="s">
        <v>19</v>
      </c>
      <c r="B12" s="82" t="s">
        <v>14</v>
      </c>
      <c r="C12" s="82"/>
      <c r="D12" s="82" t="s">
        <v>21</v>
      </c>
      <c r="E12" s="81"/>
    </row>
    <row r="13" spans="1:5" ht="15.6" x14ac:dyDescent="0.35">
      <c r="A13" s="77"/>
      <c r="B13" s="72" t="s">
        <v>15</v>
      </c>
      <c r="C13" s="72"/>
      <c r="D13" s="70" t="s">
        <v>18</v>
      </c>
      <c r="E13" s="71"/>
    </row>
    <row r="14" spans="1:5" x14ac:dyDescent="0.3">
      <c r="A14" s="6">
        <v>1</v>
      </c>
      <c r="B14" s="2">
        <v>800</v>
      </c>
      <c r="C14" s="66" t="s">
        <v>16</v>
      </c>
      <c r="D14" s="5">
        <v>2.536</v>
      </c>
      <c r="E14" s="68" t="s">
        <v>17</v>
      </c>
    </row>
    <row r="15" spans="1:5" x14ac:dyDescent="0.3">
      <c r="A15" s="6">
        <v>2</v>
      </c>
      <c r="B15" s="2">
        <v>600</v>
      </c>
      <c r="C15" s="66"/>
      <c r="D15" s="5">
        <v>3.597</v>
      </c>
      <c r="E15" s="68"/>
    </row>
    <row r="16" spans="1:5" x14ac:dyDescent="0.3">
      <c r="A16" s="6">
        <v>3</v>
      </c>
      <c r="B16" s="2">
        <v>500</v>
      </c>
      <c r="C16" s="66"/>
      <c r="D16" s="5">
        <v>4.3049999999999997</v>
      </c>
      <c r="E16" s="68"/>
    </row>
    <row r="17" spans="1:5" x14ac:dyDescent="0.3">
      <c r="A17" s="6">
        <v>4</v>
      </c>
      <c r="B17" s="2">
        <v>400</v>
      </c>
      <c r="C17" s="66"/>
      <c r="D17" s="5">
        <v>5.3659999999999997</v>
      </c>
      <c r="E17" s="68"/>
    </row>
    <row r="18" spans="1:5" x14ac:dyDescent="0.3">
      <c r="A18" s="6">
        <v>5</v>
      </c>
      <c r="B18" s="2">
        <v>300</v>
      </c>
      <c r="C18" s="66"/>
      <c r="D18" s="5">
        <v>7.1349999999999998</v>
      </c>
      <c r="E18" s="68"/>
    </row>
    <row r="19" spans="1:5" x14ac:dyDescent="0.3">
      <c r="A19" s="6">
        <v>6</v>
      </c>
      <c r="B19" s="2">
        <v>200</v>
      </c>
      <c r="C19" s="66"/>
      <c r="D19" s="5">
        <v>11.026999999999999</v>
      </c>
      <c r="E19" s="68"/>
    </row>
    <row r="20" spans="1:5" ht="15" thickBot="1" x14ac:dyDescent="0.35">
      <c r="A20" s="7">
        <v>7</v>
      </c>
      <c r="B20" s="8">
        <v>100</v>
      </c>
      <c r="C20" s="67"/>
      <c r="D20" s="9">
        <v>22.053999999999998</v>
      </c>
      <c r="E20" s="69"/>
    </row>
  </sheetData>
  <dataConsolidate/>
  <mergeCells count="15">
    <mergeCell ref="C14:C20"/>
    <mergeCell ref="E14:E20"/>
    <mergeCell ref="D13:E13"/>
    <mergeCell ref="B13:C13"/>
    <mergeCell ref="A2:E2"/>
    <mergeCell ref="A12:A13"/>
    <mergeCell ref="A3:A4"/>
    <mergeCell ref="E5:E11"/>
    <mergeCell ref="D3:E3"/>
    <mergeCell ref="D4:E4"/>
    <mergeCell ref="B3:C3"/>
    <mergeCell ref="B12:C12"/>
    <mergeCell ref="D12:E12"/>
    <mergeCell ref="C5:C11"/>
    <mergeCell ref="B4:C4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custom" allowBlank="1" showInputMessage="1" showErrorMessage="1" xr:uid="{583812EE-B6C8-4442-A02C-799288303DAB}">
          <x14:formula1>
            <xm:f>'Curve Data'!$A$4:$A$106+'Curve Data'!A4:A114</xm:f>
          </x14:formula1>
          <xm:sqref>A22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B5176-7EAD-498F-9791-17ED7EDCD8B9}">
  <sheetPr codeName="Sheet5"/>
  <dimension ref="A2:G134"/>
  <sheetViews>
    <sheetView workbookViewId="0">
      <selection activeCell="F11" sqref="F11"/>
    </sheetView>
  </sheetViews>
  <sheetFormatPr defaultRowHeight="14.4" x14ac:dyDescent="0.3"/>
  <cols>
    <col min="1" max="1" width="12.21875" customWidth="1"/>
    <col min="2" max="2" width="19.44140625" customWidth="1"/>
    <col min="3" max="3" width="16.33203125" customWidth="1"/>
    <col min="5" max="5" width="16.109375" customWidth="1"/>
  </cols>
  <sheetData>
    <row r="2" spans="1:7" ht="27.6" customHeight="1" x14ac:dyDescent="0.3">
      <c r="A2" s="12" t="s">
        <v>14</v>
      </c>
      <c r="B2" s="12" t="s">
        <v>12</v>
      </c>
      <c r="C2" s="13" t="s">
        <v>22</v>
      </c>
      <c r="E2" t="s">
        <v>27</v>
      </c>
    </row>
    <row r="3" spans="1:7" ht="15.6" x14ac:dyDescent="0.35">
      <c r="A3" s="10" t="s">
        <v>25</v>
      </c>
      <c r="B3" s="4" t="s">
        <v>26</v>
      </c>
      <c r="C3" s="11" t="s">
        <v>28</v>
      </c>
      <c r="E3" s="1" t="s">
        <v>23</v>
      </c>
      <c r="F3" t="s">
        <v>8</v>
      </c>
      <c r="G3" t="s">
        <v>24</v>
      </c>
    </row>
    <row r="4" spans="1:7" x14ac:dyDescent="0.3">
      <c r="A4">
        <v>150</v>
      </c>
      <c r="B4">
        <f>G$4*A4^F$4</f>
        <v>68.866529571430533</v>
      </c>
      <c r="C4">
        <f>G$5*A4^F$5</f>
        <v>14.680324175966421</v>
      </c>
      <c r="E4" t="s">
        <v>11</v>
      </c>
      <c r="F4">
        <v>-1.9914812900000001</v>
      </c>
      <c r="G4">
        <v>1484749.62971731</v>
      </c>
    </row>
    <row r="5" spans="1:7" x14ac:dyDescent="0.3">
      <c r="A5">
        <v>155</v>
      </c>
      <c r="B5">
        <f>G$4*A5^F$4</f>
        <v>64.513206748107478</v>
      </c>
      <c r="C5">
        <f>G$5*A5^F$5</f>
        <v>14.19270868023237</v>
      </c>
      <c r="E5" t="s">
        <v>22</v>
      </c>
      <c r="F5">
        <v>-1.03018996</v>
      </c>
      <c r="G5">
        <v>2561.6690020599999</v>
      </c>
    </row>
    <row r="6" spans="1:7" x14ac:dyDescent="0.3">
      <c r="A6">
        <v>160</v>
      </c>
      <c r="B6">
        <f>G$4*A6^F$4</f>
        <v>60.560509361534642</v>
      </c>
      <c r="C6">
        <f>G$5*A6^F$5</f>
        <v>13.7360143633265</v>
      </c>
    </row>
    <row r="7" spans="1:7" x14ac:dyDescent="0.3">
      <c r="A7">
        <v>165</v>
      </c>
      <c r="B7">
        <f>G$4*A7^F$4</f>
        <v>56.960716011668652</v>
      </c>
      <c r="C7">
        <f>G$5*A7^F$5</f>
        <v>13.307403246696675</v>
      </c>
    </row>
    <row r="8" spans="1:7" x14ac:dyDescent="0.3">
      <c r="A8">
        <v>170</v>
      </c>
      <c r="B8">
        <f>G$4*A8^F$4</f>
        <v>53.673007413038469</v>
      </c>
      <c r="C8">
        <f>G$5*A8^F$5</f>
        <v>12.904373598375622</v>
      </c>
    </row>
    <row r="9" spans="1:7" x14ac:dyDescent="0.3">
      <c r="A9">
        <v>175</v>
      </c>
      <c r="B9">
        <f>G$4*A9^F$4</f>
        <v>50.662301940913451</v>
      </c>
      <c r="C9">
        <f>G$5*A9^F$5</f>
        <v>12.524711629196442</v>
      </c>
    </row>
    <row r="10" spans="1:7" x14ac:dyDescent="0.3">
      <c r="A10">
        <v>180</v>
      </c>
      <c r="B10">
        <f>G$4*A10^F$4</f>
        <v>47.898314129074635</v>
      </c>
      <c r="C10">
        <f>G$5*A10^F$5</f>
        <v>12.166451276634861</v>
      </c>
    </row>
    <row r="11" spans="1:7" x14ac:dyDescent="0.3">
      <c r="A11">
        <v>185</v>
      </c>
      <c r="B11">
        <f>G$4*A11^F$4</f>
        <v>45.354788629618632</v>
      </c>
      <c r="C11">
        <f>G$5*A11^F$5</f>
        <v>11.827840540239581</v>
      </c>
    </row>
    <row r="12" spans="1:7" x14ac:dyDescent="0.3">
      <c r="A12">
        <v>190</v>
      </c>
      <c r="B12">
        <f>G$4*A12^F$4</f>
        <v>43.008873230376167</v>
      </c>
      <c r="C12">
        <f>G$5*A12^F$5</f>
        <v>11.507313157074231</v>
      </c>
    </row>
    <row r="13" spans="1:7" x14ac:dyDescent="0.3">
      <c r="A13">
        <v>195</v>
      </c>
      <c r="B13">
        <f>G$4*A13^F$4</f>
        <v>40.840602808282583</v>
      </c>
      <c r="C13">
        <f>G$5*A13^F$5</f>
        <v>11.203464654959964</v>
      </c>
    </row>
    <row r="14" spans="1:7" x14ac:dyDescent="0.3">
      <c r="A14">
        <v>200</v>
      </c>
      <c r="B14">
        <f>G$4*A14^F$4</f>
        <v>38.83247233748687</v>
      </c>
      <c r="C14">
        <f>G$5*A14^F$5</f>
        <v>10.915032014400374</v>
      </c>
    </row>
    <row r="15" spans="1:7" x14ac:dyDescent="0.3">
      <c r="A15">
        <v>205</v>
      </c>
      <c r="B15">
        <f>G$4*A15^F$4</f>
        <v>36.969081809749973</v>
      </c>
      <c r="C15">
        <f>G$5*A15^F$5</f>
        <v>10.640876320650996</v>
      </c>
    </row>
    <row r="16" spans="1:7" x14ac:dyDescent="0.3">
      <c r="A16">
        <v>210</v>
      </c>
      <c r="B16">
        <f>G$4*A16^F$4</f>
        <v>35.236839549913988</v>
      </c>
      <c r="C16">
        <f>G$5*A16^F$5</f>
        <v>10.379967905612633</v>
      </c>
    </row>
    <row r="17" spans="1:3" x14ac:dyDescent="0.3">
      <c r="A17">
        <v>215</v>
      </c>
      <c r="B17">
        <f>G$4*A17^F$4</f>
        <v>33.623713202152089</v>
      </c>
      <c r="C17">
        <f>G$5*A17^F$5</f>
        <v>10.131373572627973</v>
      </c>
    </row>
    <row r="18" spans="1:3" x14ac:dyDescent="0.3">
      <c r="A18">
        <v>220</v>
      </c>
      <c r="B18">
        <f>G$4*A18^F$4</f>
        <v>32.119019828816626</v>
      </c>
      <c r="C18">
        <f>G$5*A18^F$5</f>
        <v>9.8942455714992796</v>
      </c>
    </row>
    <row r="19" spans="1:3" x14ac:dyDescent="0.3">
      <c r="A19">
        <v>225</v>
      </c>
      <c r="B19">
        <f>G$4*A19^F$4</f>
        <v>30.71324825433101</v>
      </c>
      <c r="C19">
        <f>G$5*A19^F$5</f>
        <v>9.667812050391003</v>
      </c>
    </row>
    <row r="20" spans="1:3" x14ac:dyDescent="0.3">
      <c r="A20">
        <v>230</v>
      </c>
      <c r="B20">
        <f>G$4*A20^F$4</f>
        <v>29.397908114078408</v>
      </c>
      <c r="C20">
        <f>G$5*A20^F$5</f>
        <v>9.45136875898101</v>
      </c>
    </row>
    <row r="21" spans="1:3" x14ac:dyDescent="0.3">
      <c r="A21">
        <v>235</v>
      </c>
      <c r="B21">
        <f>G$4*A21^F$4</f>
        <v>28.165401116609882</v>
      </c>
      <c r="C21">
        <f>G$5*A21^F$5</f>
        <v>9.2442718157626089</v>
      </c>
    </row>
    <row r="22" spans="1:3" x14ac:dyDescent="0.3">
      <c r="A22">
        <v>240</v>
      </c>
      <c r="B22">
        <f>G$4*A22^F$4</f>
        <v>27.008910859959716</v>
      </c>
      <c r="C22">
        <f>G$5*A22^F$5</f>
        <v>9.0459313836896023</v>
      </c>
    </row>
    <row r="23" spans="1:3" x14ac:dyDescent="0.3">
      <c r="A23">
        <v>245</v>
      </c>
      <c r="B23">
        <f>G$4*A23^F$4</f>
        <v>25.922308207350792</v>
      </c>
      <c r="C23">
        <f>G$5*A23^F$5</f>
        <v>8.8558061238830881</v>
      </c>
    </row>
    <row r="24" spans="1:3" x14ac:dyDescent="0.3">
      <c r="A24">
        <v>250</v>
      </c>
      <c r="B24">
        <f>G$4*A24^F$4</f>
        <v>24.90006976063308</v>
      </c>
      <c r="C24">
        <f>G$5*A24^F$5</f>
        <v>8.6733983180353231</v>
      </c>
    </row>
    <row r="25" spans="1:3" x14ac:dyDescent="0.3">
      <c r="A25">
        <v>255</v>
      </c>
      <c r="B25">
        <f>G$4*A25^F$4</f>
        <v>23.937207399471919</v>
      </c>
      <c r="C25">
        <f>G$5*A25^F$5</f>
        <v>8.4982495673608334</v>
      </c>
    </row>
    <row r="26" spans="1:3" x14ac:dyDescent="0.3">
      <c r="A26">
        <v>260</v>
      </c>
      <c r="B26">
        <f>G$4*A26^F$4</f>
        <v>23.029207202229259</v>
      </c>
      <c r="C26">
        <f>G$5*A26^F$5</f>
        <v>8.3299369901714613</v>
      </c>
    </row>
    <row r="27" spans="1:3" x14ac:dyDescent="0.3">
      <c r="A27">
        <v>265</v>
      </c>
      <c r="B27">
        <f>G$4*A27^F$4</f>
        <v>22.171976347441909</v>
      </c>
      <c r="C27">
        <f>G$5*A27^F$5</f>
        <v>8.1680698519543817</v>
      </c>
    </row>
    <row r="28" spans="1:3" x14ac:dyDescent="0.3">
      <c r="A28">
        <v>270</v>
      </c>
      <c r="B28">
        <f>G$4*A28^F$4</f>
        <v>21.361796825906772</v>
      </c>
      <c r="C28">
        <f>G$5*A28^F$5</f>
        <v>8.0122865716623153</v>
      </c>
    </row>
    <row r="29" spans="1:3" x14ac:dyDescent="0.3">
      <c r="A29">
        <v>275</v>
      </c>
      <c r="B29">
        <f>G$4*A29^F$4</f>
        <v>20.595284982888849</v>
      </c>
      <c r="C29">
        <f>G$5*A29^F$5</f>
        <v>7.8622520561415579</v>
      </c>
    </row>
    <row r="30" spans="1:3" x14ac:dyDescent="0.3">
      <c r="A30">
        <v>280</v>
      </c>
      <c r="B30">
        <f>G$4*A30^F$4</f>
        <v>19.869356065971342</v>
      </c>
      <c r="C30">
        <f>G$5*A30^F$5</f>
        <v>7.7176553215148465</v>
      </c>
    </row>
    <row r="31" spans="1:3" x14ac:dyDescent="0.3">
      <c r="A31">
        <v>285</v>
      </c>
      <c r="B31">
        <f>G$4*A31^F$4</f>
        <v>19.181193082968871</v>
      </c>
      <c r="C31">
        <f>G$5*A31^F$5</f>
        <v>7.5782073661368194</v>
      </c>
    </row>
    <row r="32" spans="1:3" x14ac:dyDescent="0.3">
      <c r="A32">
        <v>290</v>
      </c>
      <c r="B32">
        <f>G$4*A32^F$4</f>
        <v>18.528219381216722</v>
      </c>
      <c r="C32">
        <f>G$5*A32^F$5</f>
        <v>7.4436392646369525</v>
      </c>
    </row>
    <row r="33" spans="1:3" x14ac:dyDescent="0.3">
      <c r="A33">
        <v>295</v>
      </c>
      <c r="B33">
        <f>G$4*A33^F$4</f>
        <v>17.908074448490829</v>
      </c>
      <c r="C33">
        <f>G$5*A33^F$5</f>
        <v>7.3137004567129855</v>
      </c>
    </row>
    <row r="34" spans="1:3" x14ac:dyDescent="0.3">
      <c r="A34">
        <v>300</v>
      </c>
      <c r="B34">
        <f>G$4*A34^F$4</f>
        <v>17.318592510075586</v>
      </c>
      <c r="C34">
        <f>G$5*A34^F$5</f>
        <v>7.1881572078619804</v>
      </c>
    </row>
    <row r="35" spans="1:3" x14ac:dyDescent="0.3">
      <c r="A35">
        <v>305</v>
      </c>
      <c r="B35">
        <f>G$4*A35^F$4</f>
        <v>16.757783558690527</v>
      </c>
      <c r="C35">
        <f>G$5*A35^F$5</f>
        <v>7.0667912222381259</v>
      </c>
    </row>
    <row r="36" spans="1:3" x14ac:dyDescent="0.3">
      <c r="A36">
        <v>310</v>
      </c>
      <c r="B36">
        <f>G$4*A36^F$4</f>
        <v>16.223816506244241</v>
      </c>
      <c r="C36">
        <f>G$5*A36^F$5</f>
        <v>6.9493983903922585</v>
      </c>
    </row>
    <row r="37" spans="1:3" x14ac:dyDescent="0.3">
      <c r="A37">
        <v>315</v>
      </c>
      <c r="B37">
        <f>G$4*A37^F$4</f>
        <v>15.715004190417414</v>
      </c>
      <c r="C37">
        <f>G$5*A37^F$5</f>
        <v>6.8357876568449427</v>
      </c>
    </row>
    <row r="38" spans="1:3" x14ac:dyDescent="0.3">
      <c r="A38">
        <v>320</v>
      </c>
      <c r="B38">
        <f>G$4*A38^F$4</f>
        <v>15.229790006292713</v>
      </c>
      <c r="C38">
        <f>G$5*A38^F$5</f>
        <v>6.7257799943332079</v>
      </c>
    </row>
    <row r="39" spans="1:3" x14ac:dyDescent="0.3">
      <c r="A39">
        <v>325</v>
      </c>
      <c r="B39">
        <f>G$4*A39^F$4</f>
        <v>14.766735964787481</v>
      </c>
      <c r="C39">
        <f>G$5*A39^F$5</f>
        <v>6.6192074731960737</v>
      </c>
    </row>
    <row r="40" spans="1:3" x14ac:dyDescent="0.3">
      <c r="A40">
        <v>330</v>
      </c>
      <c r="B40">
        <f>G$4*A40^F$4</f>
        <v>14.324512006446003</v>
      </c>
      <c r="C40">
        <f>G$5*A40^F$5</f>
        <v>6.5159124157673043</v>
      </c>
    </row>
    <row r="41" spans="1:3" x14ac:dyDescent="0.3">
      <c r="A41">
        <v>335</v>
      </c>
      <c r="B41">
        <f>G$4*A41^F$4</f>
        <v>13.901886421983313</v>
      </c>
      <c r="C41">
        <f>G$5*A41^F$5</f>
        <v>6.4157466268577101</v>
      </c>
    </row>
    <row r="42" spans="1:3" x14ac:dyDescent="0.3">
      <c r="A42">
        <v>340</v>
      </c>
      <c r="B42">
        <f>G$4*A42^F$4</f>
        <v>13.497717250475503</v>
      </c>
      <c r="C42">
        <f>G$5*A42^F$5</f>
        <v>6.3185706924623259</v>
      </c>
    </row>
    <row r="43" spans="1:3" x14ac:dyDescent="0.3">
      <c r="A43">
        <v>345</v>
      </c>
      <c r="B43">
        <f>G$4*A43^F$4</f>
        <v>13.110944542793879</v>
      </c>
      <c r="C43">
        <f>G$5*A43^F$5</f>
        <v>6.2242533397427788</v>
      </c>
    </row>
    <row r="44" spans="1:3" x14ac:dyDescent="0.3">
      <c r="A44">
        <v>350</v>
      </c>
      <c r="B44">
        <f>G$4*A44^F$4</f>
        <v>12.740583392212685</v>
      </c>
      <c r="C44">
        <f>G$5*A44^F$5</f>
        <v>6.1326708521322217</v>
      </c>
    </row>
    <row r="45" spans="1:3" x14ac:dyDescent="0.3">
      <c r="A45">
        <v>355</v>
      </c>
      <c r="B45">
        <f>G$4*A45^F$4</f>
        <v>12.385717646452541</v>
      </c>
      <c r="C45">
        <f>G$5*A45^F$5</f>
        <v>6.0437065341059775</v>
      </c>
    </row>
    <row r="46" spans="1:3" x14ac:dyDescent="0.3">
      <c r="A46">
        <v>360</v>
      </c>
      <c r="B46">
        <f>G$4*A46^F$4</f>
        <v>12.045494226053941</v>
      </c>
      <c r="C46">
        <f>G$5*A46^F$5</f>
        <v>5.9572502207695406</v>
      </c>
    </row>
    <row r="47" spans="1:3" x14ac:dyDescent="0.3">
      <c r="A47">
        <v>365</v>
      </c>
      <c r="B47">
        <f>G$4*A47^F$4</f>
        <v>11.719117983161201</v>
      </c>
      <c r="C47">
        <f>G$5*A47^F$5</f>
        <v>5.8731978279486681</v>
      </c>
    </row>
    <row r="48" spans="1:3" x14ac:dyDescent="0.3">
      <c r="A48">
        <v>370</v>
      </c>
      <c r="B48">
        <f>G$4*A48^F$4</f>
        <v>11.405847042753166</v>
      </c>
      <c r="C48">
        <f>G$5*A48^F$5</f>
        <v>5.7914509389346165</v>
      </c>
    </row>
    <row r="49" spans="1:3" x14ac:dyDescent="0.3">
      <c r="A49">
        <v>375</v>
      </c>
      <c r="B49">
        <f>G$4*A49^F$4</f>
        <v>11.104988575259156</v>
      </c>
      <c r="C49">
        <f>G$5*A49^F$5</f>
        <v>5.7119164244493144</v>
      </c>
    </row>
    <row r="50" spans="1:3" x14ac:dyDescent="0.3">
      <c r="A50">
        <v>380</v>
      </c>
      <c r="B50">
        <f>G$4*A50^F$4</f>
        <v>10.815894955499362</v>
      </c>
      <c r="C50">
        <f>G$5*A50^F$5</f>
        <v>5.6345060927581878</v>
      </c>
    </row>
    <row r="51" spans="1:3" x14ac:dyDescent="0.3">
      <c r="A51">
        <v>385</v>
      </c>
      <c r="B51">
        <f>G$4*A51^F$4</f>
        <v>10.537960268116535</v>
      </c>
      <c r="C51">
        <f>G$5*A51^F$5</f>
        <v>5.5591363671786107</v>
      </c>
    </row>
    <row r="52" spans="1:3" x14ac:dyDescent="0.3">
      <c r="A52">
        <v>390</v>
      </c>
      <c r="B52">
        <f>G$4*A52^F$4</f>
        <v>10.270617124228092</v>
      </c>
      <c r="C52">
        <f>G$5*A52^F$5</f>
        <v>5.4857279885153405</v>
      </c>
    </row>
    <row r="53" spans="1:3" x14ac:dyDescent="0.3">
      <c r="A53">
        <v>395</v>
      </c>
      <c r="B53">
        <f>G$4*A53^F$4</f>
        <v>10.01333375801614</v>
      </c>
      <c r="C53">
        <f>G$5*A53^F$5</f>
        <v>5.4142057402050856</v>
      </c>
    </row>
    <row r="54" spans="1:3" x14ac:dyDescent="0.3">
      <c r="A54">
        <v>400</v>
      </c>
      <c r="B54">
        <f>G$4*A54^F$4</f>
        <v>9.7656113754673015</v>
      </c>
      <c r="C54">
        <f>G$5*A54^F$5</f>
        <v>5.3444981941750136</v>
      </c>
    </row>
    <row r="55" spans="1:3" x14ac:dyDescent="0.3">
      <c r="A55">
        <v>405</v>
      </c>
      <c r="B55">
        <f>G$4*A55^F$4</f>
        <v>9.5269817305391786</v>
      </c>
      <c r="C55">
        <f>G$5*A55^F$5</f>
        <v>5.2765374756176762</v>
      </c>
    </row>
    <row r="56" spans="1:3" x14ac:dyDescent="0.3">
      <c r="A56">
        <v>410</v>
      </c>
      <c r="B56">
        <f>G$4*A56^F$4</f>
        <v>9.2970049067249345</v>
      </c>
      <c r="C56">
        <f>G$5*A56^F$5</f>
        <v>5.2102590450608997</v>
      </c>
    </row>
    <row r="57" spans="1:3" x14ac:dyDescent="0.3">
      <c r="A57">
        <v>415</v>
      </c>
      <c r="B57">
        <f>G$4*A57^F$4</f>
        <v>9.0752672843593469</v>
      </c>
      <c r="C57">
        <f>G$5*A57^F$5</f>
        <v>5.1456014962680419</v>
      </c>
    </row>
    <row r="58" spans="1:3" x14ac:dyDescent="0.3">
      <c r="A58">
        <v>420</v>
      </c>
      <c r="B58">
        <f>G$4*A58^F$4</f>
        <v>8.8613796761008761</v>
      </c>
      <c r="C58">
        <f>G$5*A58^F$5</f>
        <v>5.0825063686438403</v>
      </c>
    </row>
    <row r="59" spans="1:3" x14ac:dyDescent="0.3">
      <c r="A59">
        <v>425</v>
      </c>
      <c r="B59">
        <f>G$4*A59^F$4</f>
        <v>8.6549756148719901</v>
      </c>
      <c r="C59">
        <f>G$5*A59^F$5</f>
        <v>5.0209179729465667</v>
      </c>
    </row>
    <row r="60" spans="1:3" x14ac:dyDescent="0.3">
      <c r="A60">
        <v>430</v>
      </c>
      <c r="B60">
        <f>G$4*A60^F$4</f>
        <v>8.4557097801730201</v>
      </c>
      <c r="C60">
        <f>G$5*A60^F$5</f>
        <v>4.9607832292187064</v>
      </c>
    </row>
    <row r="61" spans="1:3" x14ac:dyDescent="0.3">
      <c r="A61">
        <v>435</v>
      </c>
      <c r="B61">
        <f>G$4*A61^F$4</f>
        <v>8.2632565501324944</v>
      </c>
      <c r="C61">
        <f>G$5*A61^F$5</f>
        <v>4.9020515159491174</v>
      </c>
    </row>
    <row r="62" spans="1:3" x14ac:dyDescent="0.3">
      <c r="A62">
        <v>440</v>
      </c>
      <c r="B62">
        <f>G$4*A62^F$4</f>
        <v>8.0773086679407502</v>
      </c>
      <c r="C62">
        <f>G$5*A62^F$5</f>
        <v>4.8446745295695823</v>
      </c>
    </row>
    <row r="63" spans="1:3" x14ac:dyDescent="0.3">
      <c r="A63">
        <v>445</v>
      </c>
      <c r="B63">
        <f>G$4*A63^F$4</f>
        <v>7.8975760124538237</v>
      </c>
      <c r="C63">
        <f>G$5*A63^F$5</f>
        <v>4.7886061534694422</v>
      </c>
    </row>
    <row r="64" spans="1:3" x14ac:dyDescent="0.3">
      <c r="A64">
        <v>450</v>
      </c>
      <c r="B64">
        <f>G$4*A64^F$4</f>
        <v>7.723784463769646</v>
      </c>
      <c r="C64">
        <f>G$5*A64^F$5</f>
        <v>4.7338023357851409</v>
      </c>
    </row>
    <row r="65" spans="1:3" x14ac:dyDescent="0.3">
      <c r="A65">
        <v>455</v>
      </c>
      <c r="B65">
        <f>G$4*A65^F$4</f>
        <v>7.5556748554819206</v>
      </c>
      <c r="C65">
        <f>G$5*A65^F$5</f>
        <v>4.6802209752867041</v>
      </c>
    </row>
    <row r="66" spans="1:3" x14ac:dyDescent="0.3">
      <c r="A66">
        <v>460</v>
      </c>
      <c r="B66">
        <f>G$4*A66^F$4</f>
        <v>7.3930020061237816</v>
      </c>
      <c r="C66">
        <f>G$5*A66^F$5</f>
        <v>4.6278218147426209</v>
      </c>
    </row>
    <row r="67" spans="1:3" x14ac:dyDescent="0.3">
      <c r="A67">
        <v>465</v>
      </c>
      <c r="B67">
        <f>G$4*A67^F$4</f>
        <v>7.2355338230330783</v>
      </c>
      <c r="C67">
        <f>G$5*A67^F$5</f>
        <v>4.5765663411979265</v>
      </c>
    </row>
    <row r="68" spans="1:3" x14ac:dyDescent="0.3">
      <c r="A68">
        <v>470</v>
      </c>
      <c r="B68">
        <f>G$4*A68^F$4</f>
        <v>7.083050472515076</v>
      </c>
      <c r="C68">
        <f>G$5*A68^F$5</f>
        <v>4.5264176926484563</v>
      </c>
    </row>
    <row r="69" spans="1:3" x14ac:dyDescent="0.3">
      <c r="A69">
        <v>475</v>
      </c>
      <c r="B69">
        <f>G$4*A69^F$4</f>
        <v>6.9353436107550959</v>
      </c>
      <c r="C69">
        <f>G$5*A69^F$5</f>
        <v>4.4773405706381126</v>
      </c>
    </row>
    <row r="70" spans="1:3" x14ac:dyDescent="0.3">
      <c r="A70">
        <v>480</v>
      </c>
      <c r="B70">
        <f>G$4*A70^F$4</f>
        <v>6.792215670450271</v>
      </c>
      <c r="C70">
        <f>G$5*A70^F$5</f>
        <v>4.4293011583453499</v>
      </c>
    </row>
    <row r="71" spans="1:3" x14ac:dyDescent="0.3">
      <c r="A71">
        <v>485</v>
      </c>
      <c r="B71">
        <f>G$4*A71^F$4</f>
        <v>6.6534791985937876</v>
      </c>
      <c r="C71">
        <f>G$5*A71^F$5</f>
        <v>4.3822670437612166</v>
      </c>
    </row>
    <row r="72" spans="1:3" x14ac:dyDescent="0.3">
      <c r="A72">
        <v>490</v>
      </c>
      <c r="B72">
        <f>G$4*A72^F$4</f>
        <v>6.518956241261507</v>
      </c>
      <c r="C72">
        <f>G$5*A72^F$5</f>
        <v>4.3362071475937238</v>
      </c>
    </row>
    <row r="73" spans="1:3" x14ac:dyDescent="0.3">
      <c r="A73">
        <v>495</v>
      </c>
      <c r="B73">
        <f>G$4*A73^F$4</f>
        <v>6.3884777716261834</v>
      </c>
      <c r="C73">
        <f>G$5*A73^F$5</f>
        <v>4.2910916555628775</v>
      </c>
    </row>
    <row r="74" spans="1:3" x14ac:dyDescent="0.3">
      <c r="A74">
        <v>500</v>
      </c>
      <c r="B74">
        <f>G$4*A74^F$4</f>
        <v>6.2618831577620009</v>
      </c>
      <c r="C74">
        <f>G$5*A74^F$5</f>
        <v>4.2468919547779196</v>
      </c>
    </row>
    <row r="75" spans="1:3" x14ac:dyDescent="0.3">
      <c r="A75">
        <v>505</v>
      </c>
      <c r="B75">
        <f>G$4*A75^F$4</f>
        <v>6.1390196671065596</v>
      </c>
      <c r="C75">
        <f>G$5*A75^F$5</f>
        <v>4.2035805739125056</v>
      </c>
    </row>
    <row r="76" spans="1:3" x14ac:dyDescent="0.3">
      <c r="A76">
        <v>510</v>
      </c>
      <c r="B76">
        <f>G$4*A76^F$4</f>
        <v>6.0197420047227279</v>
      </c>
      <c r="C76">
        <f>G$5*A76^F$5</f>
        <v>4.161131126916227</v>
      </c>
    </row>
    <row r="77" spans="1:3" x14ac:dyDescent="0.3">
      <c r="A77">
        <v>515</v>
      </c>
      <c r="B77">
        <f>G$4*A77^F$4</f>
        <v>5.9039118827502062</v>
      </c>
      <c r="C77">
        <f>G$5*A77^F$5</f>
        <v>4.1195182600210343</v>
      </c>
    </row>
    <row r="78" spans="1:3" x14ac:dyDescent="0.3">
      <c r="A78">
        <v>520</v>
      </c>
      <c r="B78">
        <f>G$4*A78^F$4</f>
        <v>5.7913976186621063</v>
      </c>
      <c r="C78">
        <f>G$5*A78^F$5</f>
        <v>4.0787176018199442</v>
      </c>
    </row>
    <row r="79" spans="1:3" x14ac:dyDescent="0.3">
      <c r="A79">
        <v>525</v>
      </c>
      <c r="B79">
        <f>G$4*A79^F$4</f>
        <v>5.682073760144414</v>
      </c>
      <c r="C79">
        <f>G$5*A79^F$5</f>
        <v>4.0387057162123225</v>
      </c>
    </row>
    <row r="80" spans="1:3" x14ac:dyDescent="0.3">
      <c r="A80">
        <v>530</v>
      </c>
      <c r="B80">
        <f>G$4*A80^F$4</f>
        <v>5.5758207346007742</v>
      </c>
      <c r="C80">
        <f>G$5*A80^F$5</f>
        <v>3.9994600580256501</v>
      </c>
    </row>
    <row r="81" spans="1:3" x14ac:dyDescent="0.3">
      <c r="A81">
        <v>535</v>
      </c>
      <c r="B81">
        <f>G$4*A81^F$4</f>
        <v>5.4725245214520291</v>
      </c>
      <c r="C81">
        <f>G$5*A81^F$5</f>
        <v>3.9609589311379616</v>
      </c>
    </row>
    <row r="82" spans="1:3" x14ac:dyDescent="0.3">
      <c r="A82">
        <v>540</v>
      </c>
      <c r="B82">
        <f>G$4*A82^F$4</f>
        <v>5.3720763455514993</v>
      </c>
      <c r="C82">
        <f>G$5*A82^F$5</f>
        <v>3.9231814489381858</v>
      </c>
    </row>
    <row r="83" spans="1:3" x14ac:dyDescent="0.3">
      <c r="A83">
        <v>545</v>
      </c>
      <c r="B83">
        <f>G$4*A83^F$4</f>
        <v>5.2743723901752935</v>
      </c>
      <c r="C83">
        <f>G$5*A83^F$5</f>
        <v>3.88610749697364</v>
      </c>
    </row>
    <row r="84" spans="1:3" x14ac:dyDescent="0.3">
      <c r="A84">
        <v>550</v>
      </c>
      <c r="B84">
        <f>G$4*A84^F$4</f>
        <v>5.1793135281714822</v>
      </c>
      <c r="C84">
        <f>G$5*A84^F$5</f>
        <v>3.8497176976448628</v>
      </c>
    </row>
    <row r="85" spans="1:3" x14ac:dyDescent="0.3">
      <c r="A85">
        <v>555</v>
      </c>
      <c r="B85">
        <f>G$4*A85^F$4</f>
        <v>5.0868050699672906</v>
      </c>
      <c r="C85">
        <f>G$5*A85^F$5</f>
        <v>3.8139933768182193</v>
      </c>
    </row>
    <row r="86" spans="1:3" x14ac:dyDescent="0.3">
      <c r="A86">
        <v>560</v>
      </c>
      <c r="B86">
        <f>G$4*A86^F$4</f>
        <v>4.9967565272362844</v>
      </c>
      <c r="C86">
        <f>G$5*A86^F$5</f>
        <v>3.7789165322358618</v>
      </c>
    </row>
    <row r="87" spans="1:3" x14ac:dyDescent="0.3">
      <c r="A87">
        <v>565</v>
      </c>
      <c r="B87">
        <f>G$4*A87^F$4</f>
        <v>4.9090813911232969</v>
      </c>
      <c r="C87">
        <f>G$5*A87^F$5</f>
        <v>3.7444698036112065</v>
      </c>
    </row>
    <row r="88" spans="1:3" x14ac:dyDescent="0.3">
      <c r="A88">
        <v>570</v>
      </c>
      <c r="B88">
        <f>G$4*A88^F$4</f>
        <v>4.823696924010946</v>
      </c>
      <c r="C88">
        <f>G$5*A88^F$5</f>
        <v>3.7106364443061137</v>
      </c>
    </row>
    <row r="89" spans="1:3" x14ac:dyDescent="0.3">
      <c r="A89">
        <v>575</v>
      </c>
      <c r="B89">
        <f>G$4*A89^F$4</f>
        <v>4.7405239638907757</v>
      </c>
      <c r="C89">
        <f>G$5*A89^F$5</f>
        <v>3.6774002944929403</v>
      </c>
    </row>
    <row r="90" spans="1:3" x14ac:dyDescent="0.3">
      <c r="A90">
        <v>580</v>
      </c>
      <c r="B90">
        <f>G$4*A90^F$4</f>
        <v>4.6594867404745237</v>
      </c>
      <c r="C90">
        <f>G$5*A90^F$5</f>
        <v>3.6447457557116345</v>
      </c>
    </row>
    <row r="91" spans="1:3" x14ac:dyDescent="0.3">
      <c r="A91">
        <v>585</v>
      </c>
      <c r="B91">
        <f>G$4*A91^F$4</f>
        <v>4.5805127022469101</v>
      </c>
      <c r="C91">
        <f>G$5*A91^F$5</f>
        <v>3.6126577667379363</v>
      </c>
    </row>
    <row r="92" spans="1:3" x14ac:dyDescent="0.3">
      <c r="A92">
        <v>590</v>
      </c>
      <c r="B92">
        <f>G$4*A92^F$4</f>
        <v>4.5035323537222762</v>
      </c>
      <c r="C92">
        <f>G$5*A92^F$5</f>
        <v>3.5811217806846609</v>
      </c>
    </row>
    <row r="93" spans="1:3" x14ac:dyDescent="0.3">
      <c r="A93">
        <v>595</v>
      </c>
      <c r="B93">
        <f>G$4*A93^F$4</f>
        <v>4.428479102222421</v>
      </c>
      <c r="C93">
        <f>G$5*A93^F$5</f>
        <v>3.5501237432631894</v>
      </c>
    </row>
    <row r="94" spans="1:3" x14ac:dyDescent="0.3">
      <c r="A94">
        <v>600</v>
      </c>
      <c r="B94">
        <f>G$4*A94^F$4</f>
        <v>4.3552891135445639</v>
      </c>
      <c r="C94">
        <f>G$5*A94^F$5</f>
        <v>3.5196500721372308</v>
      </c>
    </row>
    <row r="95" spans="1:3" x14ac:dyDescent="0.3">
      <c r="A95">
        <v>605</v>
      </c>
      <c r="B95">
        <f>G$4*A95^F$4</f>
        <v>4.283901175934349</v>
      </c>
      <c r="C95">
        <f>G$5*A95^F$5</f>
        <v>3.4896876373053449</v>
      </c>
    </row>
    <row r="96" spans="1:3" x14ac:dyDescent="0.3">
      <c r="A96">
        <v>610</v>
      </c>
      <c r="B96">
        <f>G$4*A96^F$4</f>
        <v>4.2142565718224407</v>
      </c>
      <c r="C96">
        <f>G$5*A96^F$5</f>
        <v>3.4602237424530662</v>
      </c>
    </row>
    <row r="97" spans="1:3" x14ac:dyDescent="0.3">
      <c r="A97">
        <v>615</v>
      </c>
      <c r="B97">
        <f>G$4*A97^F$4</f>
        <v>4.1462989568220445</v>
      </c>
      <c r="C97">
        <f>G$5*A97^F$5</f>
        <v>3.4312461072190517</v>
      </c>
    </row>
    <row r="98" spans="1:3" x14ac:dyDescent="0.3">
      <c r="A98">
        <v>620</v>
      </c>
      <c r="B98">
        <f>G$4*A98^F$4</f>
        <v>4.0799742455215116</v>
      </c>
      <c r="C98">
        <f>G$5*A98^F$5</f>
        <v>3.4027428503236052</v>
      </c>
    </row>
    <row r="99" spans="1:3" x14ac:dyDescent="0.3">
      <c r="A99">
        <v>625</v>
      </c>
      <c r="B99">
        <f>G$4*A99^F$4</f>
        <v>4.0152305036393088</v>
      </c>
      <c r="C99">
        <f>G$5*A99^F$5</f>
        <v>3.3747024735109865</v>
      </c>
    </row>
    <row r="100" spans="1:3" x14ac:dyDescent="0.3">
      <c r="A100">
        <v>630</v>
      </c>
      <c r="B100">
        <f>G$4*A100^F$4</f>
        <v>3.9520178461392446</v>
      </c>
      <c r="C100">
        <f>G$5*A100^F$5</f>
        <v>3.3471138462600885</v>
      </c>
    </row>
    <row r="101" spans="1:3" x14ac:dyDescent="0.3">
      <c r="A101">
        <v>635</v>
      </c>
      <c r="B101">
        <f>G$4*A101^F$4</f>
        <v>3.8902883409326723</v>
      </c>
      <c r="C101">
        <f>G$5*A101^F$5</f>
        <v>3.319966191221059</v>
      </c>
    </row>
    <row r="102" spans="1:3" x14ac:dyDescent="0.3">
      <c r="A102">
        <v>640</v>
      </c>
      <c r="B102">
        <f>G$4*A102^F$4</f>
        <v>3.8299959178199376</v>
      </c>
      <c r="C102">
        <f>G$5*A102^F$5</f>
        <v>3.2932490703378821</v>
      </c>
    </row>
    <row r="103" spans="1:3" x14ac:dyDescent="0.3">
      <c r="A103">
        <v>645</v>
      </c>
      <c r="B103">
        <f>G$4*A103^F$4</f>
        <v>3.7710962823479761</v>
      </c>
      <c r="C103">
        <f>G$5*A103^F$5</f>
        <v>3.2669523716196096</v>
      </c>
    </row>
    <row r="104" spans="1:3" x14ac:dyDescent="0.3">
      <c r="A104">
        <v>650</v>
      </c>
      <c r="B104">
        <f>G$4*A104^F$4</f>
        <v>3.7135468342828513</v>
      </c>
      <c r="C104">
        <f>G$5*A104^F$5</f>
        <v>3.2410662965251587</v>
      </c>
    </row>
    <row r="105" spans="1:3" x14ac:dyDescent="0.3">
      <c r="A105">
        <v>655</v>
      </c>
      <c r="B105">
        <f>G$4*A105^F$4</f>
        <v>3.6573065904168676</v>
      </c>
      <c r="C105">
        <f>G$5*A105^F$5</f>
        <v>3.2155813479287314</v>
      </c>
    </row>
    <row r="106" spans="1:3" x14ac:dyDescent="0.3">
      <c r="A106">
        <v>660</v>
      </c>
      <c r="B106">
        <f>G$4*A106^F$4</f>
        <v>3.6023361114488393</v>
      </c>
      <c r="C106">
        <f>G$5*A106^F$5</f>
        <v>3.1904883186349502</v>
      </c>
    </row>
    <row r="107" spans="1:3" x14ac:dyDescent="0.3">
      <c r="A107">
        <v>665</v>
      </c>
      <c r="B107">
        <f>G$4*A107^F$4</f>
        <v>3.5485974326936245</v>
      </c>
      <c r="C107">
        <f>G$5*A107^F$5</f>
        <v>3.1657782804146755</v>
      </c>
    </row>
    <row r="108" spans="1:3" x14ac:dyDescent="0.3">
      <c r="A108">
        <v>670</v>
      </c>
      <c r="B108">
        <f>G$4*A108^F$4</f>
        <v>3.4960539983934673</v>
      </c>
      <c r="C108">
        <f>G$5*A108^F$5</f>
        <v>3.1414425735341416</v>
      </c>
    </row>
    <row r="109" spans="1:3" x14ac:dyDescent="0.3">
      <c r="A109">
        <v>675</v>
      </c>
      <c r="B109">
        <f>G$4*A109^F$4</f>
        <v>3.4446705994186533</v>
      </c>
      <c r="C109">
        <f>G$5*A109^F$5</f>
        <v>3.1174727967517697</v>
      </c>
    </row>
    <row r="110" spans="1:3" x14ac:dyDescent="0.3">
      <c r="A110">
        <v>680</v>
      </c>
      <c r="B110">
        <f>G$4*A110^F$4</f>
        <v>3.3944133141592143</v>
      </c>
      <c r="C110">
        <f>G$5*A110^F$5</f>
        <v>3.0938607977584796</v>
      </c>
    </row>
    <row r="111" spans="1:3" x14ac:dyDescent="0.3">
      <c r="A111">
        <v>685</v>
      </c>
      <c r="B111">
        <f>G$4*A111^F$4</f>
        <v>3.3452494524219532</v>
      </c>
      <c r="C111">
        <f>G$5*A111^F$5</f>
        <v>3.0705986640386911</v>
      </c>
    </row>
    <row r="112" spans="1:3" x14ac:dyDescent="0.3">
      <c r="A112">
        <v>690</v>
      </c>
      <c r="B112">
        <f>G$4*A112^F$4</f>
        <v>3.2971475021596639</v>
      </c>
      <c r="C112">
        <f>G$5*A112^F$5</f>
        <v>3.0476787141306949</v>
      </c>
    </row>
    <row r="113" spans="1:3" x14ac:dyDescent="0.3">
      <c r="A113">
        <v>695</v>
      </c>
      <c r="B113">
        <f>G$4*A113^F$4</f>
        <v>3.2500770788700883</v>
      </c>
      <c r="C113">
        <f>G$5*A113^F$5</f>
        <v>3.0250934892660615</v>
      </c>
    </row>
    <row r="114" spans="1:3" x14ac:dyDescent="0.3">
      <c r="A114">
        <v>700</v>
      </c>
      <c r="B114">
        <f>G$4*A114^F$4</f>
        <v>3.2040088775128979</v>
      </c>
      <c r="C114">
        <f>G$5*A114^F$5</f>
        <v>3.002835745369179</v>
      </c>
    </row>
    <row r="115" spans="1:3" x14ac:dyDescent="0.3">
      <c r="A115">
        <v>705</v>
      </c>
      <c r="B115">
        <f>G$4*A115^F$4</f>
        <v>3.1589146268024022</v>
      </c>
      <c r="C115">
        <f>G$5*A115^F$5</f>
        <v>2.9808984453988718</v>
      </c>
    </row>
    <row r="116" spans="1:3" x14ac:dyDescent="0.3">
      <c r="A116">
        <v>710</v>
      </c>
      <c r="B116">
        <f>G$4*A116^F$4</f>
        <v>3.1147670457427958</v>
      </c>
      <c r="C116">
        <f>G$5*A116^F$5</f>
        <v>2.9592747520152445</v>
      </c>
    </row>
    <row r="117" spans="1:3" x14ac:dyDescent="0.3">
      <c r="A117">
        <v>715</v>
      </c>
      <c r="B117">
        <f>G$4*A117^F$4</f>
        <v>3.071539802281086</v>
      </c>
      <c r="C117">
        <f>G$5*A117^F$5</f>
        <v>2.9379580205556839</v>
      </c>
    </row>
    <row r="118" spans="1:3" x14ac:dyDescent="0.3">
      <c r="A118">
        <v>720</v>
      </c>
      <c r="B118">
        <f>G$4*A118^F$4</f>
        <v>3.0292074739604611</v>
      </c>
      <c r="C118">
        <f>G$5*A118^F$5</f>
        <v>2.9169417923050025</v>
      </c>
    </row>
    <row r="119" spans="1:3" x14ac:dyDescent="0.3">
      <c r="A119">
        <v>725</v>
      </c>
      <c r="B119">
        <f>G$4*A119^F$4</f>
        <v>2.9877455104644284</v>
      </c>
      <c r="C119">
        <f>G$5*A119^F$5</f>
        <v>2.896219788045427</v>
      </c>
    </row>
    <row r="120" spans="1:3" x14ac:dyDescent="0.3">
      <c r="A120">
        <v>730</v>
      </c>
      <c r="B120">
        <f>G$4*A120^F$4</f>
        <v>2.9471301979483693</v>
      </c>
      <c r="C120">
        <f>G$5*A120^F$5</f>
        <v>2.8757859018729284</v>
      </c>
    </row>
    <row r="121" spans="1:3" x14ac:dyDescent="0.3">
      <c r="A121">
        <v>735</v>
      </c>
      <c r="B121">
        <f>G$4*A121^F$4</f>
        <v>2.907338625061866</v>
      </c>
      <c r="C121">
        <f>G$5*A121^F$5</f>
        <v>2.8556341952672479</v>
      </c>
    </row>
    <row r="122" spans="1:3" x14ac:dyDescent="0.3">
      <c r="A122">
        <v>740</v>
      </c>
      <c r="B122">
        <f>G$4*A122^F$4</f>
        <v>2.8683486505705948</v>
      </c>
      <c r="C122">
        <f>G$5*A122^F$5</f>
        <v>2.8357588914034562</v>
      </c>
    </row>
    <row r="123" spans="1:3" x14ac:dyDescent="0.3">
      <c r="A123">
        <v>745</v>
      </c>
      <c r="B123">
        <f>G$4*A123^F$4</f>
        <v>2.8301388724925358</v>
      </c>
      <c r="C123">
        <f>G$5*A123^F$5</f>
        <v>2.8161543696937339</v>
      </c>
    </row>
    <row r="124" spans="1:3" x14ac:dyDescent="0.3">
      <c r="A124">
        <v>750</v>
      </c>
      <c r="B124">
        <f>G$4*A124^F$4</f>
        <v>2.7926885986678762</v>
      </c>
      <c r="C124">
        <f>G$5*A124^F$5</f>
        <v>2.7968151605485692</v>
      </c>
    </row>
    <row r="125" spans="1:3" x14ac:dyDescent="0.3">
      <c r="A125">
        <v>755</v>
      </c>
      <c r="B125">
        <f>G$4*A125^F$4</f>
        <v>2.7559778186870671</v>
      </c>
      <c r="C125">
        <f>G$5*A125^F$5</f>
        <v>2.7777359403471054</v>
      </c>
    </row>
    <row r="126" spans="1:3" x14ac:dyDescent="0.3">
      <c r="A126">
        <v>760</v>
      </c>
      <c r="B126">
        <f>G$4*A126^F$4</f>
        <v>2.7199871771059034</v>
      </c>
      <c r="C126">
        <f>G$5*A126^F$5</f>
        <v>2.7589115266070579</v>
      </c>
    </row>
    <row r="127" spans="1:3" x14ac:dyDescent="0.3">
      <c r="A127">
        <v>765</v>
      </c>
      <c r="B127">
        <f>G$4*A127^F$4</f>
        <v>2.6846979478805295</v>
      </c>
      <c r="C127">
        <f>G$5*A127^F$5</f>
        <v>2.7403368733449285</v>
      </c>
    </row>
    <row r="128" spans="1:3" x14ac:dyDescent="0.3">
      <c r="A128">
        <v>770</v>
      </c>
      <c r="B128">
        <f>G$4*A128^F$4</f>
        <v>2.6500920099593515</v>
      </c>
      <c r="C128">
        <f>G$5*A128^F$5</f>
        <v>2.7220070666179299</v>
      </c>
    </row>
    <row r="129" spans="1:3" x14ac:dyDescent="0.3">
      <c r="A129">
        <v>775</v>
      </c>
      <c r="B129">
        <f>G$4*A129^F$4</f>
        <v>2.6161518239723462</v>
      </c>
      <c r="C129">
        <f>G$5*A129^F$5</f>
        <v>2.7039173202392859</v>
      </c>
    </row>
    <row r="130" spans="1:3" x14ac:dyDescent="0.3">
      <c r="A130">
        <v>780</v>
      </c>
      <c r="B130">
        <f>G$4*A130^F$4</f>
        <v>2.5828604099617882</v>
      </c>
      <c r="C130">
        <f>G$5*A130^F$5</f>
        <v>2.6860629716591986</v>
      </c>
    </row>
    <row r="131" spans="1:3" x14ac:dyDescent="0.3">
      <c r="A131">
        <v>785</v>
      </c>
      <c r="B131">
        <f>G$4*A131^F$4</f>
        <v>2.5502013261014547</v>
      </c>
      <c r="C131">
        <f>G$5*A131^F$5</f>
        <v>2.6684394780039344</v>
      </c>
    </row>
    <row r="132" spans="1:3" x14ac:dyDescent="0.3">
      <c r="A132">
        <v>790</v>
      </c>
      <c r="B132">
        <f>G$4*A132^F$4</f>
        <v>2.518158648354591</v>
      </c>
      <c r="C132">
        <f>G$5*A132^F$5</f>
        <v>2.6510424122661331</v>
      </c>
    </row>
    <row r="133" spans="1:3" x14ac:dyDescent="0.3">
      <c r="A133">
        <v>795</v>
      </c>
      <c r="B133">
        <f>G$4*A133^F$4</f>
        <v>2.4867169510235354</v>
      </c>
      <c r="C133">
        <f>G$5*A133^F$5</f>
        <v>2.6338674596395566</v>
      </c>
    </row>
    <row r="134" spans="1:3" x14ac:dyDescent="0.3">
      <c r="A134">
        <v>800</v>
      </c>
      <c r="B134">
        <f>G$4*A134^F$4</f>
        <v>2.4558612881465658</v>
      </c>
      <c r="C134">
        <f>G$5*A134^F$5</f>
        <v>2.6169104139919592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L 4 G V V a F C A Y G j A A A A 9 g A A A B I A H A B D b 2 5 m a W c v U G F j a 2 F n Z S 5 4 b W w g o h g A K K A U A A A A A A A A A A A A A A A A A A A A A A A A A A A A h Y 9 N D o I w G E S v Q r q n f y b G k F I W b i U x I R q 3 T a n Q C B + G F s v d X H g k r y B G U X c u 5 8 1 b z N y v N 5 G N b R N d T O 9 s B y l i m K L I g O 5 K C 1 W K B n + M V y i T Y q v 0 S V U m m m R w y e j K F N X e n x N C Q g g 4 L H D X V 4 R T y s g h 3 x S 6 N q 1 C H 9 n + l 2 M L z i v Q B k m x f 4 2 R H D P G 8 J J y T A W Z o c g t f A U + 7 X 2 2 P 1 C s h 8 Y P v Z E G 4 l 0 h y B w F e X + Q D 1 B L A w Q U A A I A C A A v g Z V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L 4 G V V S i K R 7 g O A A A A E Q A A A B M A H A B G b 3 J t d W x h c y 9 T Z W N 0 a W 9 u M S 5 t I K I Y A C i g F A A A A A A A A A A A A A A A A A A A A A A A A A A A A C t O T S 7 J z M 9 T C I b Q h t Y A U E s B A i 0 A F A A C A A g A L 4 G V V a F C A Y G j A A A A 9 g A A A B I A A A A A A A A A A A A A A A A A A A A A A E N v b m Z p Z y 9 Q Y W N r Y W d l L n h t b F B L A Q I t A B Q A A g A I A C + B l V U P y u m r p A A A A O k A A A A T A A A A A A A A A A A A A A A A A O 8 A A A B b Q 2 9 u d G V u d F 9 U e X B l c 1 0 u e G 1 s U E s B A i 0 A F A A C A A g A L 4 G V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E R P I k + h M M 9 G k c M c V 8 W r k u 8 A A A A A A g A A A A A A E G Y A A A A B A A A g A A A A z Y + S k E Q J B 6 W k I m h r / v O S g x R 9 t l 5 4 h 7 P E a M O z D 1 o K H H A A A A A A D o A A A A A C A A A g A A A A u s e p v I 9 K f 7 B M 3 z h X 9 D K E 2 R J S T p 6 u Z k T Y 3 O y 1 G r U q j w l Q A A A A a J p c 2 m q o 5 r g j 1 Q E F a h B 4 p l L M b q H B 5 B r p R 7 F M g z t 4 I q Z I T B Q Y m 1 h / T y p 0 C N A o k U M S + v / h 2 4 r w J P S C D C p x I P r B Q s 7 V A S Q b 0 L q d E j e E F p F e Y t 5 A A A A A Y g R j B r x z 0 7 D f K V F E K 7 P 4 M 5 q E H C p 9 A 5 S p q 0 I y f 7 h o K q t 1 T R G V Z p U 7 g Q Q h S 7 y 3 0 e B o g J p e t I 2 r a b z + 1 R 8 X N / C s U Q = = < / D a t a M a s h u p > 
</file>

<file path=customXml/itemProps1.xml><?xml version="1.0" encoding="utf-8"?>
<ds:datastoreItem xmlns:ds="http://schemas.openxmlformats.org/officeDocument/2006/customXml" ds:itemID="{CF7E9B06-C586-468A-B0F7-7F7AE3EA825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Setup 1</vt:lpstr>
      <vt:lpstr>Setup 2</vt:lpstr>
      <vt:lpstr>Setup 3</vt:lpstr>
      <vt:lpstr>Orifice - 0.4 mm</vt:lpstr>
      <vt:lpstr>Curve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Nikita Statiev</dc:creator>
  <cp:lastModifiedBy>Nikita Statiev</cp:lastModifiedBy>
  <dcterms:created xsi:type="dcterms:W3CDTF">2015-06-05T18:17:20Z</dcterms:created>
  <dcterms:modified xsi:type="dcterms:W3CDTF">2023-01-06T22:54:47Z</dcterms:modified>
</cp:coreProperties>
</file>